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WEBTODAY\5_ExternalTrade\"/>
    </mc:Choice>
  </mc:AlternateContent>
  <xr:revisionPtr revIDLastSave="0" documentId="13_ncr:1_{7C376F38-15B7-4247-8CB1-8EA7BC690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EIGN TRADE COUNTRY" sheetId="3" r:id="rId1"/>
    <sheet name="Chart1-IMPORTS BY AREA" sheetId="5" r:id="rId2"/>
    <sheet name="Chart2-EXPORTS BY AREA" sheetId="6" r:id="rId3"/>
  </sheets>
  <definedNames>
    <definedName name="_xlnm.Print_Area" localSheetId="0">'FOREIGN TRADE COUNTRY'!$A$1:$CL$59</definedName>
    <definedName name="_xlnm.Print_Titles" localSheetId="0">'FOREIGN TRADE COUNTRY'!$B:$C</definedName>
  </definedNames>
  <calcPr calcId="191029"/>
</workbook>
</file>

<file path=xl/calcChain.xml><?xml version="1.0" encoding="utf-8"?>
<calcChain xmlns="http://schemas.openxmlformats.org/spreadsheetml/2006/main">
  <c r="AE47" i="3" l="1"/>
  <c r="AB47" i="3"/>
  <c r="Y47" i="3"/>
  <c r="V47" i="3"/>
  <c r="S47" i="3"/>
  <c r="P47" i="3"/>
  <c r="J47" i="3"/>
  <c r="G47" i="3"/>
  <c r="AE38" i="3"/>
  <c r="AB38" i="3"/>
  <c r="V38" i="3"/>
  <c r="S38" i="3"/>
  <c r="P38" i="3"/>
  <c r="J38" i="3"/>
  <c r="G38" i="3"/>
  <c r="O61" i="3"/>
  <c r="AE36" i="3"/>
  <c r="AE35" i="3"/>
  <c r="AE31" i="3"/>
  <c r="AE46" i="3"/>
  <c r="AE24" i="3"/>
  <c r="AE21" i="3"/>
  <c r="AE20" i="3"/>
  <c r="AE18" i="3"/>
  <c r="AE17" i="3"/>
  <c r="AE16" i="3"/>
  <c r="AE9" i="3"/>
  <c r="AB36" i="3"/>
  <c r="AB35" i="3"/>
  <c r="AB31" i="3"/>
  <c r="AB46" i="3"/>
  <c r="AB24" i="3"/>
  <c r="AB21" i="3"/>
  <c r="AB20" i="3"/>
  <c r="AB18" i="3"/>
  <c r="AB17" i="3"/>
  <c r="AB16" i="3"/>
  <c r="AB9" i="3"/>
  <c r="Y36" i="3"/>
  <c r="Y35" i="3"/>
  <c r="Y31" i="3"/>
  <c r="Y46" i="3"/>
  <c r="Y24" i="3"/>
  <c r="Y21" i="3"/>
  <c r="Y20" i="3"/>
  <c r="Y18" i="3"/>
  <c r="Y17" i="3"/>
  <c r="Y16" i="3"/>
  <c r="Y9" i="3"/>
  <c r="V36" i="3"/>
  <c r="V35" i="3"/>
  <c r="V31" i="3"/>
  <c r="V46" i="3"/>
  <c r="V24" i="3"/>
  <c r="V21" i="3"/>
  <c r="V20" i="3"/>
  <c r="V18" i="3"/>
  <c r="V17" i="3"/>
  <c r="V16" i="3"/>
  <c r="V9" i="3"/>
  <c r="S36" i="3"/>
  <c r="S35" i="3"/>
  <c r="S31" i="3"/>
  <c r="S46" i="3"/>
  <c r="S24" i="3"/>
  <c r="S21" i="3"/>
  <c r="S20" i="3"/>
  <c r="S18" i="3"/>
  <c r="S17" i="3"/>
  <c r="S16" i="3"/>
  <c r="S9" i="3"/>
  <c r="P36" i="3"/>
  <c r="P35" i="3"/>
  <c r="P31" i="3"/>
  <c r="P46" i="3"/>
  <c r="P24" i="3"/>
  <c r="P21" i="3"/>
  <c r="P20" i="3"/>
  <c r="P18" i="3"/>
  <c r="P17" i="3"/>
  <c r="P16" i="3"/>
  <c r="P9" i="3"/>
  <c r="M9" i="3"/>
  <c r="J36" i="3"/>
  <c r="J35" i="3"/>
  <c r="J31" i="3"/>
  <c r="J46" i="3"/>
  <c r="J24" i="3"/>
  <c r="J21" i="3"/>
  <c r="J20" i="3"/>
  <c r="J18" i="3"/>
  <c r="J17" i="3"/>
  <c r="J16" i="3"/>
  <c r="J9" i="3"/>
  <c r="G36" i="3"/>
  <c r="G35" i="3"/>
  <c r="G31" i="3"/>
  <c r="G46" i="3"/>
  <c r="G24" i="3"/>
  <c r="G21" i="3"/>
  <c r="G20" i="3"/>
  <c r="G18" i="3"/>
  <c r="G17" i="3"/>
  <c r="G16" i="3"/>
  <c r="G9" i="3"/>
  <c r="D9" i="3"/>
  <c r="D46" i="3"/>
  <c r="D24" i="3"/>
  <c r="D21" i="3"/>
  <c r="D20" i="3"/>
  <c r="D18" i="3"/>
  <c r="D17" i="3"/>
  <c r="D16" i="3"/>
</calcChain>
</file>

<file path=xl/sharedStrings.xml><?xml version="1.0" encoding="utf-8"?>
<sst xmlns="http://schemas.openxmlformats.org/spreadsheetml/2006/main" count="223" uniqueCount="83">
  <si>
    <t>1 9 9 5</t>
  </si>
  <si>
    <t>1 9 9 7</t>
  </si>
  <si>
    <t>1 9 9 8</t>
  </si>
  <si>
    <t>Total</t>
  </si>
  <si>
    <t>Imports</t>
  </si>
  <si>
    <t>France</t>
  </si>
  <si>
    <t>Germany</t>
  </si>
  <si>
    <t>Greece</t>
  </si>
  <si>
    <t>Italy</t>
  </si>
  <si>
    <t>Netherlands</t>
  </si>
  <si>
    <t>Spain</t>
  </si>
  <si>
    <t>United Kingdom</t>
  </si>
  <si>
    <t>Lebanon</t>
  </si>
  <si>
    <t>United States</t>
  </si>
  <si>
    <t>Israel</t>
  </si>
  <si>
    <t>Japan</t>
  </si>
  <si>
    <t>Exports</t>
  </si>
  <si>
    <t>1 9 9 9</t>
  </si>
  <si>
    <t>(f.o.b)</t>
  </si>
  <si>
    <t>(c.i.f)</t>
  </si>
  <si>
    <t>2 0 0 2</t>
  </si>
  <si>
    <t>2 0 0 1</t>
  </si>
  <si>
    <t>2 0 0 0</t>
  </si>
  <si>
    <t>2 0 0 3</t>
  </si>
  <si>
    <t>2 0 0 4</t>
  </si>
  <si>
    <t xml:space="preserve">China </t>
  </si>
  <si>
    <t>2 0 0 5</t>
  </si>
  <si>
    <t>2 0 0 6</t>
  </si>
  <si>
    <t>2 0 0 7</t>
  </si>
  <si>
    <t>2 0 0 8</t>
  </si>
  <si>
    <t>2 0 0 9</t>
  </si>
  <si>
    <t xml:space="preserve">2 0 1 0 </t>
  </si>
  <si>
    <t xml:space="preserve">2 0 1 1 </t>
  </si>
  <si>
    <t>1 9 9 6</t>
  </si>
  <si>
    <t>2 0 1 3</t>
  </si>
  <si>
    <r>
      <t>2 0 1 2</t>
    </r>
    <r>
      <rPr>
        <b/>
        <sz val="10"/>
        <color indexed="12"/>
        <rFont val="Arial"/>
        <family val="2"/>
        <charset val="161"/>
      </rPr>
      <t xml:space="preserve"> </t>
    </r>
  </si>
  <si>
    <t>India</t>
  </si>
  <si>
    <t>Liberia</t>
  </si>
  <si>
    <t>Libya</t>
  </si>
  <si>
    <t>Marshall Islands</t>
  </si>
  <si>
    <t xml:space="preserve">2 0 1 4 </t>
  </si>
  <si>
    <t>2 0 1 5</t>
  </si>
  <si>
    <t>2 0 1 6</t>
  </si>
  <si>
    <t>2 0 1 7</t>
  </si>
  <si>
    <t>Hong Kong</t>
  </si>
  <si>
    <t>2 0 1 8</t>
  </si>
  <si>
    <t>Bulgaria</t>
  </si>
  <si>
    <t>Denmark</t>
  </si>
  <si>
    <t>Romania</t>
  </si>
  <si>
    <t>Sweden</t>
  </si>
  <si>
    <t>Belgium²</t>
  </si>
  <si>
    <t>Austria</t>
  </si>
  <si>
    <t>2 0 1 9</t>
  </si>
  <si>
    <t>Poland</t>
  </si>
  <si>
    <t xml:space="preserve"> Non - EU countries</t>
  </si>
  <si>
    <t xml:space="preserve"> Main trading partners </t>
  </si>
  <si>
    <t>(€mn)</t>
  </si>
  <si>
    <r>
      <t xml:space="preserve"> EU countries</t>
    </r>
    <r>
      <rPr>
        <b/>
        <sz val="9"/>
        <color indexed="12"/>
        <rFont val="Arial"/>
        <family val="2"/>
      </rPr>
      <t>¹</t>
    </r>
  </si>
  <si>
    <t xml:space="preserve"> All countries</t>
  </si>
  <si>
    <t>2 0 2 0</t>
  </si>
  <si>
    <t>Czechia</t>
  </si>
  <si>
    <t>Turkey</t>
  </si>
  <si>
    <r>
      <t xml:space="preserve"> Countries and territories 
 not specified</t>
    </r>
    <r>
      <rPr>
        <b/>
        <sz val="10"/>
        <color indexed="12"/>
        <rFont val="Calibri"/>
        <family val="2"/>
      </rPr>
      <t>³</t>
    </r>
  </si>
  <si>
    <r>
      <t xml:space="preserve"> Stores and provisions</t>
    </r>
    <r>
      <rPr>
        <b/>
        <sz val="10"/>
        <color indexed="12"/>
        <rFont val="Calibri"/>
        <family val="2"/>
      </rPr>
      <t>³</t>
    </r>
  </si>
  <si>
    <t>2 0 2 1</t>
  </si>
  <si>
    <t>Ireland</t>
  </si>
  <si>
    <t>2 0 2 2</t>
  </si>
  <si>
    <t>Egypt</t>
  </si>
  <si>
    <r>
      <rPr>
        <sz val="10"/>
        <color indexed="8"/>
        <rFont val="Arial"/>
        <family val="2"/>
      </rPr>
      <t>1. Trade with EU Countries refers to trade with the other EU Member States,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while trade with non-EU Countries refers to trade with third countries. The United Kingdom is included in extra-EU trade. Imports from the United Kingdom are recorded by country of consignment until 31 December 2020. </t>
    </r>
  </si>
  <si>
    <t>2. Including Luxembourg for the years 1995-1998.</t>
  </si>
  <si>
    <t>3. Countries and territories not specified &amp; stores and provisions refer to both intra-EU and extra-EU trade.</t>
  </si>
  <si>
    <t>Korea, Republic of (South Korea)</t>
  </si>
  <si>
    <t>FOREIGN  TRADE BY MAIN PARTNER COUNTRY, 1995-2023</t>
  </si>
  <si>
    <t>COPYRIGHT © :2024, REPUBLIC OF CYPRUS, STATISTICAL SERVICE</t>
  </si>
  <si>
    <t>2 0 2 3</t>
  </si>
  <si>
    <t>(Last Update 17/06/2024)</t>
  </si>
  <si>
    <t>Algeria</t>
  </si>
  <si>
    <t>Bermuda</t>
  </si>
  <si>
    <t>Cayman Islands</t>
  </si>
  <si>
    <t>Nigeria</t>
  </si>
  <si>
    <t>Norway</t>
  </si>
  <si>
    <t>Ukraine</t>
  </si>
  <si>
    <t>Note: Imports data for the year 2022 and exports data for the years 2021 and 2022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</si>
</sst>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>
    <font>
      <sz val="9"/>
      <color indexed="8"/>
      <name val="»οξτΫςξα"/>
      <charset val="161"/>
    </font>
    <font>
      <sz val="12"/>
      <color indexed="8"/>
      <name val="Arial"/>
      <family val="2"/>
      <charset val="161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b/>
      <sz val="20"/>
      <color indexed="12"/>
      <name val="Arial"/>
      <family val="2"/>
    </font>
    <font>
      <sz val="8"/>
      <name val="»οξτΫςξα"/>
      <charset val="16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48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  <charset val="161"/>
    </font>
    <font>
      <sz val="9"/>
      <color indexed="12"/>
      <name val="Arial"/>
      <family val="2"/>
      <charset val="161"/>
    </font>
    <font>
      <sz val="9"/>
      <color indexed="8"/>
      <name val="Arial"/>
      <family val="2"/>
      <charset val="161"/>
    </font>
    <font>
      <sz val="10"/>
      <name val="Arial"/>
      <family val="2"/>
      <charset val="161"/>
    </font>
    <font>
      <b/>
      <sz val="24"/>
      <color indexed="12"/>
      <name val="Arial"/>
      <family val="2"/>
    </font>
    <font>
      <b/>
      <sz val="10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sz val="14"/>
      <color indexed="8"/>
      <name val="Arial"/>
      <family val="2"/>
      <charset val="161"/>
    </font>
    <font>
      <b/>
      <sz val="14"/>
      <color indexed="8"/>
      <name val="Arial"/>
      <family val="2"/>
    </font>
    <font>
      <b/>
      <sz val="10"/>
      <color indexed="12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10"/>
      <name val="Arial"/>
      <family val="2"/>
    </font>
    <font>
      <b/>
      <sz val="10"/>
      <color indexed="12"/>
      <name val="Calibri"/>
      <family val="2"/>
    </font>
    <font>
      <b/>
      <sz val="9"/>
      <color indexed="12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39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medium">
        <color indexed="39"/>
      </bottom>
      <diagonal/>
    </border>
    <border>
      <left/>
      <right style="thin">
        <color indexed="39"/>
      </right>
      <top/>
      <bottom style="medium">
        <color indexed="39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medium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39"/>
      </right>
      <top style="thin">
        <color indexed="12"/>
      </top>
      <bottom/>
      <diagonal/>
    </border>
    <border>
      <left/>
      <right style="thin">
        <color indexed="39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 style="double">
        <color indexed="39"/>
      </top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39"/>
      </left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/>
      <top style="double">
        <color rgb="FF0000CC"/>
      </top>
      <bottom/>
      <diagonal/>
    </border>
    <border>
      <left/>
      <right/>
      <top/>
      <bottom style="double">
        <color rgb="FF0000CC"/>
      </bottom>
      <diagonal/>
    </border>
  </borders>
  <cellStyleXfs count="1">
    <xf numFmtId="0" fontId="0" fillId="0" borderId="0"/>
  </cellStyleXfs>
  <cellXfs count="194">
    <xf numFmtId="0" fontId="0" fillId="0" borderId="0" xfId="0"/>
    <xf numFmtId="165" fontId="4" fillId="0" borderId="0" xfId="0" applyNumberFormat="1" applyFont="1" applyAlignment="1">
      <alignment horizontal="center"/>
    </xf>
    <xf numFmtId="0" fontId="1" fillId="0" borderId="0" xfId="0" applyFont="1"/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left"/>
      <protection locked="0"/>
    </xf>
    <xf numFmtId="0" fontId="7" fillId="0" borderId="0" xfId="0" applyFont="1"/>
    <xf numFmtId="0" fontId="12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13" fillId="0" borderId="2" xfId="0" applyFont="1" applyBorder="1" applyProtection="1">
      <protection locked="0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7" fillId="0" borderId="7" xfId="0" applyFont="1" applyBorder="1"/>
    <xf numFmtId="0" fontId="10" fillId="0" borderId="7" xfId="0" applyFont="1" applyBorder="1" applyProtection="1">
      <protection locked="0"/>
    </xf>
    <xf numFmtId="0" fontId="8" fillId="0" borderId="7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13" fillId="0" borderId="7" xfId="0" applyFont="1" applyBorder="1" applyProtection="1">
      <protection locked="0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/>
    </xf>
    <xf numFmtId="0" fontId="12" fillId="0" borderId="9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Continuous"/>
    </xf>
    <xf numFmtId="0" fontId="9" fillId="0" borderId="9" xfId="0" applyFont="1" applyBorder="1" applyAlignment="1">
      <alignment horizontal="centerContinuous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13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2" fillId="0" borderId="14" xfId="0" applyFont="1" applyBorder="1"/>
    <xf numFmtId="0" fontId="11" fillId="0" borderId="15" xfId="0" applyFont="1" applyBorder="1" applyAlignment="1">
      <alignment vertical="justify" wrapText="1"/>
    </xf>
    <xf numFmtId="0" fontId="7" fillId="0" borderId="10" xfId="0" applyFont="1" applyBorder="1"/>
    <xf numFmtId="0" fontId="8" fillId="0" borderId="16" xfId="0" applyFont="1" applyBorder="1" applyAlignment="1">
      <alignment horizontal="center"/>
    </xf>
    <xf numFmtId="0" fontId="7" fillId="0" borderId="4" xfId="0" applyFont="1" applyBorder="1" applyProtection="1">
      <protection locked="0"/>
    </xf>
    <xf numFmtId="0" fontId="13" fillId="0" borderId="14" xfId="0" applyFont="1" applyBorder="1" applyProtection="1">
      <protection locked="0"/>
    </xf>
    <xf numFmtId="0" fontId="7" fillId="0" borderId="17" xfId="0" applyFont="1" applyBorder="1" applyProtection="1">
      <protection locked="0"/>
    </xf>
    <xf numFmtId="164" fontId="8" fillId="0" borderId="18" xfId="0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right" vertical="center" indent="1"/>
    </xf>
    <xf numFmtId="165" fontId="8" fillId="0" borderId="18" xfId="0" applyNumberFormat="1" applyFont="1" applyBorder="1" applyAlignment="1">
      <alignment horizontal="right" vertical="center" indent="1"/>
    </xf>
    <xf numFmtId="164" fontId="8" fillId="0" borderId="0" xfId="0" applyNumberFormat="1" applyFont="1"/>
    <xf numFmtId="0" fontId="2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19" xfId="0" applyFont="1" applyBorder="1"/>
    <xf numFmtId="0" fontId="7" fillId="0" borderId="19" xfId="0" applyFont="1" applyBorder="1"/>
    <xf numFmtId="0" fontId="20" fillId="0" borderId="0" xfId="0" applyFont="1" applyAlignment="1" applyProtection="1">
      <alignment horizontal="left"/>
      <protection locked="0"/>
    </xf>
    <xf numFmtId="0" fontId="8" fillId="0" borderId="18" xfId="0" applyFont="1" applyBorder="1" applyAlignment="1">
      <alignment horizontal="right" vertical="center" indent="1"/>
    </xf>
    <xf numFmtId="0" fontId="8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vertical="justify" wrapText="1"/>
    </xf>
    <xf numFmtId="164" fontId="8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165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10" fillId="0" borderId="20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164" fontId="8" fillId="0" borderId="14" xfId="0" applyNumberFormat="1" applyFont="1" applyBorder="1" applyAlignment="1">
      <alignment horizontal="right" vertical="center" indent="1"/>
    </xf>
    <xf numFmtId="0" fontId="8" fillId="0" borderId="21" xfId="0" applyFont="1" applyBorder="1" applyAlignment="1" applyProtection="1">
      <alignment horizontal="center" vertical="top"/>
      <protection locked="0"/>
    </xf>
    <xf numFmtId="164" fontId="8" fillId="0" borderId="22" xfId="0" applyNumberFormat="1" applyFont="1" applyBorder="1" applyAlignment="1">
      <alignment horizontal="right" vertical="center" indent="1"/>
    </xf>
    <xf numFmtId="0" fontId="4" fillId="0" borderId="26" xfId="0" applyFont="1" applyBorder="1" applyProtection="1">
      <protection locked="0"/>
    </xf>
    <xf numFmtId="0" fontId="4" fillId="0" borderId="26" xfId="0" applyFont="1" applyBorder="1"/>
    <xf numFmtId="0" fontId="10" fillId="0" borderId="23" xfId="0" applyFont="1" applyBorder="1" applyAlignment="1">
      <alignment horizontal="center" wrapText="1"/>
    </xf>
    <xf numFmtId="0" fontId="31" fillId="0" borderId="26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4" fillId="0" borderId="18" xfId="0" applyFont="1" applyBorder="1"/>
    <xf numFmtId="0" fontId="8" fillId="0" borderId="24" xfId="0" applyFont="1" applyBorder="1" applyAlignment="1" applyProtection="1">
      <alignment horizontal="center" vertical="top"/>
      <protection locked="0"/>
    </xf>
    <xf numFmtId="0" fontId="26" fillId="0" borderId="0" xfId="0" applyFont="1"/>
    <xf numFmtId="165" fontId="21" fillId="0" borderId="0" xfId="0" applyNumberFormat="1" applyFont="1" applyAlignment="1">
      <alignment horizontal="center"/>
    </xf>
    <xf numFmtId="164" fontId="11" fillId="0" borderId="12" xfId="0" applyNumberFormat="1" applyFont="1" applyBorder="1" applyAlignment="1" applyProtection="1">
      <alignment horizontal="left"/>
      <protection locked="0"/>
    </xf>
    <xf numFmtId="164" fontId="11" fillId="0" borderId="13" xfId="0" applyNumberFormat="1" applyFont="1" applyBorder="1" applyAlignment="1" applyProtection="1">
      <alignment horizontal="left"/>
      <protection locked="0"/>
    </xf>
    <xf numFmtId="164" fontId="21" fillId="0" borderId="0" xfId="0" applyNumberFormat="1" applyFont="1" applyAlignment="1">
      <alignment horizontal="right" vertical="center" indent="1"/>
    </xf>
    <xf numFmtId="164" fontId="8" fillId="0" borderId="2" xfId="0" applyNumberFormat="1" applyFont="1" applyBorder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164" fontId="8" fillId="0" borderId="12" xfId="0" applyNumberFormat="1" applyFont="1" applyBorder="1" applyAlignment="1">
      <alignment horizontal="right" vertical="center" indent="1"/>
    </xf>
    <xf numFmtId="164" fontId="8" fillId="0" borderId="21" xfId="0" applyNumberFormat="1" applyFont="1" applyBorder="1" applyAlignment="1">
      <alignment horizontal="right" vertical="center" indent="1"/>
    </xf>
    <xf numFmtId="164" fontId="7" fillId="0" borderId="0" xfId="0" applyNumberFormat="1" applyFont="1" applyAlignment="1">
      <alignment horizontal="right" vertical="top" indent="1"/>
    </xf>
    <xf numFmtId="164" fontId="4" fillId="0" borderId="0" xfId="0" applyNumberFormat="1" applyFont="1" applyAlignment="1">
      <alignment vertical="top"/>
    </xf>
    <xf numFmtId="164" fontId="1" fillId="0" borderId="0" xfId="0" applyNumberFormat="1" applyFont="1"/>
    <xf numFmtId="0" fontId="16" fillId="0" borderId="12" xfId="0" applyFont="1" applyBorder="1" applyAlignment="1" applyProtection="1">
      <alignment horizontal="left"/>
      <protection locked="0"/>
    </xf>
    <xf numFmtId="0" fontId="17" fillId="0" borderId="13" xfId="0" applyFont="1" applyBorder="1" applyProtection="1">
      <protection locked="0"/>
    </xf>
    <xf numFmtId="164" fontId="21" fillId="0" borderId="2" xfId="0" applyNumberFormat="1" applyFont="1" applyBorder="1" applyAlignment="1">
      <alignment horizontal="right" vertical="center" indent="1"/>
    </xf>
    <xf numFmtId="164" fontId="27" fillId="0" borderId="13" xfId="0" applyNumberFormat="1" applyFont="1" applyBorder="1" applyAlignment="1">
      <alignment horizontal="right" vertical="center" indent="1"/>
    </xf>
    <xf numFmtId="164" fontId="27" fillId="0" borderId="2" xfId="0" applyNumberFormat="1" applyFont="1" applyBorder="1" applyAlignment="1">
      <alignment horizontal="right" vertical="center" indent="1"/>
    </xf>
    <xf numFmtId="0" fontId="26" fillId="0" borderId="2" xfId="0" applyFont="1" applyBorder="1" applyAlignment="1">
      <alignment horizontal="right" vertical="center" indent="1"/>
    </xf>
    <xf numFmtId="164" fontId="21" fillId="0" borderId="12" xfId="0" applyNumberFormat="1" applyFont="1" applyBorder="1" applyAlignment="1">
      <alignment horizontal="right" vertical="center" indent="1"/>
    </xf>
    <xf numFmtId="164" fontId="21" fillId="0" borderId="21" xfId="0" applyNumberFormat="1" applyFont="1" applyBorder="1" applyAlignment="1">
      <alignment horizontal="right" vertical="center" indent="1"/>
    </xf>
    <xf numFmtId="0" fontId="26" fillId="0" borderId="0" xfId="0" applyFont="1" applyAlignment="1">
      <alignment horizontal="right" indent="1"/>
    </xf>
    <xf numFmtId="0" fontId="18" fillId="0" borderId="0" xfId="0" applyFont="1"/>
    <xf numFmtId="0" fontId="7" fillId="0" borderId="13" xfId="0" applyFont="1" applyBorder="1" applyAlignment="1" applyProtection="1">
      <alignment horizontal="left"/>
      <protection locked="0"/>
    </xf>
    <xf numFmtId="164" fontId="19" fillId="0" borderId="13" xfId="0" applyNumberFormat="1" applyFont="1" applyBorder="1" applyAlignment="1">
      <alignment horizontal="right" vertical="center" indent="1"/>
    </xf>
    <xf numFmtId="164" fontId="19" fillId="0" borderId="2" xfId="0" applyNumberFormat="1" applyFont="1" applyBorder="1" applyAlignment="1">
      <alignment horizontal="right" vertical="center" indent="1"/>
    </xf>
    <xf numFmtId="164" fontId="7" fillId="0" borderId="2" xfId="0" applyNumberFormat="1" applyFont="1" applyBorder="1" applyAlignment="1">
      <alignment horizontal="right" vertical="center" indent="1"/>
    </xf>
    <xf numFmtId="164" fontId="7" fillId="0" borderId="12" xfId="0" applyNumberFormat="1" applyFont="1" applyBorder="1" applyAlignment="1">
      <alignment horizontal="right" vertical="center" indent="1"/>
    </xf>
    <xf numFmtId="164" fontId="7" fillId="0" borderId="21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right" indent="1"/>
    </xf>
    <xf numFmtId="0" fontId="7" fillId="0" borderId="12" xfId="0" applyFont="1" applyBorder="1"/>
    <xf numFmtId="0" fontId="7" fillId="0" borderId="13" xfId="0" applyFont="1" applyBorder="1" applyProtection="1">
      <protection locked="0"/>
    </xf>
    <xf numFmtId="0" fontId="7" fillId="0" borderId="13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0" fontId="7" fillId="0" borderId="21" xfId="0" applyFont="1" applyBorder="1" applyAlignment="1">
      <alignment horizontal="right" vertical="center" indent="1"/>
    </xf>
    <xf numFmtId="0" fontId="11" fillId="0" borderId="12" xfId="0" applyFont="1" applyBorder="1" applyAlignment="1" applyProtection="1">
      <alignment horizontal="left"/>
      <protection locked="0"/>
    </xf>
    <xf numFmtId="164" fontId="8" fillId="0" borderId="13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indent="1"/>
    </xf>
    <xf numFmtId="0" fontId="24" fillId="0" borderId="0" xfId="0" applyFont="1"/>
    <xf numFmtId="0" fontId="22" fillId="0" borderId="0" xfId="0" applyFont="1"/>
    <xf numFmtId="0" fontId="25" fillId="0" borderId="12" xfId="0" applyFont="1" applyBorder="1"/>
    <xf numFmtId="0" fontId="21" fillId="0" borderId="13" xfId="0" applyFont="1" applyBorder="1" applyProtection="1">
      <protection locked="0"/>
    </xf>
    <xf numFmtId="0" fontId="21" fillId="0" borderId="2" xfId="0" applyFont="1" applyBorder="1" applyAlignment="1">
      <alignment horizontal="right" vertical="center" indent="1"/>
    </xf>
    <xf numFmtId="0" fontId="21" fillId="0" borderId="0" xfId="0" applyFont="1" applyAlignment="1">
      <alignment horizontal="right" indent="1"/>
    </xf>
    <xf numFmtId="0" fontId="23" fillId="0" borderId="0" xfId="0" applyFont="1"/>
    <xf numFmtId="0" fontId="12" fillId="2" borderId="0" xfId="0" applyFont="1" applyFill="1"/>
    <xf numFmtId="0" fontId="26" fillId="2" borderId="0" xfId="0" applyFont="1" applyFill="1"/>
    <xf numFmtId="165" fontId="8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0" fontId="8" fillId="2" borderId="0" xfId="0" applyFont="1" applyFill="1"/>
    <xf numFmtId="0" fontId="7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1" fillId="2" borderId="0" xfId="0" applyFont="1" applyFill="1"/>
    <xf numFmtId="0" fontId="12" fillId="2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/>
    <xf numFmtId="0" fontId="8" fillId="2" borderId="1" xfId="0" applyFont="1" applyFill="1" applyBorder="1"/>
    <xf numFmtId="165" fontId="8" fillId="2" borderId="27" xfId="0" applyNumberFormat="1" applyFont="1" applyFill="1" applyBorder="1"/>
    <xf numFmtId="0" fontId="4" fillId="2" borderId="27" xfId="0" applyFont="1" applyFill="1" applyBorder="1"/>
    <xf numFmtId="0" fontId="14" fillId="2" borderId="0" xfId="0" applyFont="1" applyFill="1"/>
    <xf numFmtId="0" fontId="15" fillId="2" borderId="0" xfId="0" applyFont="1" applyFill="1" applyAlignment="1">
      <alignment horizontal="left" vertical="top"/>
    </xf>
    <xf numFmtId="164" fontId="4" fillId="2" borderId="0" xfId="0" applyNumberFormat="1" applyFont="1" applyFill="1"/>
    <xf numFmtId="165" fontId="4" fillId="2" borderId="0" xfId="0" applyNumberFormat="1" applyFont="1" applyFill="1" applyAlignment="1">
      <alignment horizontal="center"/>
    </xf>
    <xf numFmtId="0" fontId="11" fillId="2" borderId="12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Protection="1">
      <protection locked="0"/>
    </xf>
    <xf numFmtId="164" fontId="26" fillId="2" borderId="13" xfId="0" applyNumberFormat="1" applyFont="1" applyFill="1" applyBorder="1" applyAlignment="1">
      <alignment horizontal="right" vertical="center" indent="1"/>
    </xf>
    <xf numFmtId="164" fontId="26" fillId="2" borderId="2" xfId="0" applyNumberFormat="1" applyFont="1" applyFill="1" applyBorder="1" applyAlignment="1">
      <alignment horizontal="right" vertical="center" indent="1"/>
    </xf>
    <xf numFmtId="0" fontId="26" fillId="2" borderId="2" xfId="0" applyFont="1" applyFill="1" applyBorder="1" applyAlignment="1">
      <alignment horizontal="right" vertical="center" indent="1"/>
    </xf>
    <xf numFmtId="164" fontId="26" fillId="2" borderId="12" xfId="0" applyNumberFormat="1" applyFont="1" applyFill="1" applyBorder="1" applyAlignment="1">
      <alignment horizontal="right" vertical="center" indent="1"/>
    </xf>
    <xf numFmtId="164" fontId="26" fillId="2" borderId="21" xfId="0" applyNumberFormat="1" applyFont="1" applyFill="1" applyBorder="1" applyAlignment="1">
      <alignment horizontal="right" vertical="center" indent="1"/>
    </xf>
    <xf numFmtId="0" fontId="26" fillId="2" borderId="0" xfId="0" applyFont="1" applyFill="1" applyAlignment="1">
      <alignment horizontal="right" indent="1"/>
    </xf>
    <xf numFmtId="0" fontId="7" fillId="2" borderId="12" xfId="0" applyFont="1" applyFill="1" applyBorder="1"/>
    <xf numFmtId="0" fontId="7" fillId="2" borderId="13" xfId="0" applyFont="1" applyFill="1" applyBorder="1" applyAlignment="1" applyProtection="1">
      <alignment horizontal="left"/>
      <protection locked="0"/>
    </xf>
    <xf numFmtId="164" fontId="7" fillId="2" borderId="13" xfId="0" applyNumberFormat="1" applyFont="1" applyFill="1" applyBorder="1" applyAlignment="1">
      <alignment horizontal="right" vertical="center" indent="1"/>
    </xf>
    <xf numFmtId="164" fontId="7" fillId="2" borderId="2" xfId="0" applyNumberFormat="1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164" fontId="7" fillId="2" borderId="12" xfId="0" applyNumberFormat="1" applyFont="1" applyFill="1" applyBorder="1" applyAlignment="1">
      <alignment horizontal="right" vertical="center" indent="1"/>
    </xf>
    <xf numFmtId="164" fontId="7" fillId="2" borderId="21" xfId="0" applyNumberFormat="1" applyFont="1" applyFill="1" applyBorder="1" applyAlignment="1">
      <alignment horizontal="right" vertical="center" indent="1"/>
    </xf>
    <xf numFmtId="0" fontId="7" fillId="2" borderId="0" xfId="0" applyFont="1" applyFill="1" applyAlignment="1">
      <alignment horizontal="right" indent="1"/>
    </xf>
    <xf numFmtId="0" fontId="7" fillId="2" borderId="12" xfId="0" applyFont="1" applyFill="1" applyBorder="1" applyProtection="1">
      <protection locked="0"/>
    </xf>
    <xf numFmtId="0" fontId="4" fillId="2" borderId="26" xfId="0" applyFont="1" applyFill="1" applyBorder="1"/>
    <xf numFmtId="0" fontId="31" fillId="2" borderId="26" xfId="0" applyFont="1" applyFill="1" applyBorder="1" applyAlignment="1">
      <alignment horizontal="right"/>
    </xf>
    <xf numFmtId="0" fontId="10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6" xfId="0" applyFont="1" applyFill="1" applyBorder="1" applyAlignment="1" applyProtection="1">
      <alignment horizontal="center" vertical="top"/>
      <protection locked="0"/>
    </xf>
    <xf numFmtId="0" fontId="8" fillId="2" borderId="24" xfId="0" applyFont="1" applyFill="1" applyBorder="1" applyAlignment="1" applyProtection="1">
      <alignment horizontal="center" vertical="top"/>
      <protection locked="0"/>
    </xf>
    <xf numFmtId="0" fontId="8" fillId="2" borderId="2" xfId="0" applyFont="1" applyFill="1" applyBorder="1" applyAlignment="1" applyProtection="1">
      <alignment horizontal="center" vertical="top"/>
      <protection locked="0"/>
    </xf>
    <xf numFmtId="164" fontId="8" fillId="2" borderId="2" xfId="0" applyNumberFormat="1" applyFont="1" applyFill="1" applyBorder="1" applyAlignment="1">
      <alignment horizontal="right" vertical="center" indent="1"/>
    </xf>
    <xf numFmtId="164" fontId="21" fillId="2" borderId="2" xfId="0" applyNumberFormat="1" applyFont="1" applyFill="1" applyBorder="1" applyAlignment="1">
      <alignment horizontal="right" vertical="center" indent="1"/>
    </xf>
    <xf numFmtId="164" fontId="8" fillId="2" borderId="18" xfId="0" applyNumberFormat="1" applyFont="1" applyFill="1" applyBorder="1" applyAlignment="1">
      <alignment horizontal="right" vertical="center" indent="1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25" fillId="0" borderId="12" xfId="0" applyFont="1" applyBorder="1" applyAlignment="1">
      <alignment horizontal="left" wrapText="1"/>
    </xf>
    <xf numFmtId="0" fontId="0" fillId="0" borderId="13" xfId="0" applyBorder="1"/>
    <xf numFmtId="0" fontId="8" fillId="0" borderId="7" xfId="0" applyFont="1" applyBorder="1" applyAlignment="1">
      <alignment horizontal="center"/>
    </xf>
    <xf numFmtId="0" fontId="25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10" fillId="0" borderId="9" xfId="0" applyFont="1" applyBorder="1" applyAlignment="1">
      <alignment horizontal="center" wrapText="1"/>
    </xf>
    <xf numFmtId="0" fontId="8" fillId="0" borderId="8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Imports by area, 2016 - 2023 (€mn)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34531635024735"/>
          <c:y val="0.10220126019291854"/>
          <c:w val="0.74358974358974361"/>
          <c:h val="0.63679245283018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'FOREIGN TRADE COUNTRY'!$B$10</c:f>
              <c:strCache>
                <c:ptCount val="1"/>
                <c:pt idx="0">
                  <c:v> EU countries¹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COUNTRY'!$BO$10,'FOREIGN TRADE COUNTRY'!$BR$10,'FOREIGN TRADE COUNTRY'!$BU$10,'FOREIGN TRADE COUNTRY'!$BX$10,'FOREIGN TRADE COUNTRY'!$CA$10,'FOREIGN TRADE COUNTRY'!$CD$10,'FOREIGN TRADE COUNTRY'!$CG$10,'FOREIGN TRADE COUNTRY'!$CJ$10)</c:f>
              <c:numCache>
                <c:formatCode>#,##0.0</c:formatCode>
                <c:ptCount val="8"/>
                <c:pt idx="0">
                  <c:v>4295.1000000000004</c:v>
                </c:pt>
                <c:pt idx="1">
                  <c:v>4435.8999999999996</c:v>
                </c:pt>
                <c:pt idx="2">
                  <c:v>4658.3</c:v>
                </c:pt>
                <c:pt idx="3">
                  <c:v>4813.6000000000004</c:v>
                </c:pt>
                <c:pt idx="4">
                  <c:v>4402.9979999999996</c:v>
                </c:pt>
                <c:pt idx="5">
                  <c:v>5667.7</c:v>
                </c:pt>
                <c:pt idx="6">
                  <c:v>6980.09</c:v>
                </c:pt>
                <c:pt idx="7">
                  <c:v>7199.6880000000001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5-46A1-B90E-49FE8C806372}"/>
            </c:ext>
          </c:extLst>
        </c:ser>
        <c:ser>
          <c:idx val="1"/>
          <c:order val="1"/>
          <c:tx>
            <c:strRef>
              <c:f>'FOREIGN TRADE COUNTRY'!$B$27</c:f>
              <c:strCache>
                <c:ptCount val="1"/>
                <c:pt idx="0">
                  <c:v> Non - EU countries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COUNTRY'!$BO$27,'FOREIGN TRADE COUNTRY'!$BR$27,'FOREIGN TRADE COUNTRY'!$BU$27,'FOREIGN TRADE COUNTRY'!$BX$27,'FOREIGN TRADE COUNTRY'!$CA$27,'FOREIGN TRADE COUNTRY'!$CD$27,'FOREIGN TRADE COUNTRY'!$CG$27,'FOREIGN TRADE COUNTRY'!$CJ$27)</c:f>
              <c:numCache>
                <c:formatCode>#,##0.0</c:formatCode>
                <c:ptCount val="8"/>
                <c:pt idx="0">
                  <c:v>2679.8</c:v>
                </c:pt>
                <c:pt idx="1">
                  <c:v>3514.4</c:v>
                </c:pt>
                <c:pt idx="2">
                  <c:v>4126</c:v>
                </c:pt>
                <c:pt idx="3">
                  <c:v>3276.1</c:v>
                </c:pt>
                <c:pt idx="4">
                  <c:v>3061.1370000000002</c:v>
                </c:pt>
                <c:pt idx="5">
                  <c:v>2955.4</c:v>
                </c:pt>
                <c:pt idx="6">
                  <c:v>4306.9279999999999</c:v>
                </c:pt>
                <c:pt idx="7">
                  <c:v>5042.817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D5-46A1-B90E-49FE8C806372}"/>
            </c:ext>
          </c:extLst>
        </c:ser>
        <c:ser>
          <c:idx val="2"/>
          <c:order val="2"/>
          <c:tx>
            <c:strRef>
              <c:f>'FOREIGN TRADE COUNTRY'!$B$48:$C$48</c:f>
              <c:strCache>
                <c:ptCount val="2"/>
                <c:pt idx="0">
                  <c:v> Countries and territories 
 not specified³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COUNTRY'!$BO$48,'FOREIGN TRADE COUNTRY'!$BR$48,'FOREIGN TRADE COUNTRY'!$BU$48,'FOREIGN TRADE COUNTRY'!$BX$48,'FOREIGN TRADE COUNTRY'!$CA$48,'FOREIGN TRADE COUNTRY'!$CD$48,'FOREIGN TRADE COUNTRY'!$CG$48,'FOREIGN TRADE COUNTRY'!$CJ$48)</c:f>
              <c:numCache>
                <c:formatCode>#,##0.0</c:formatCode>
                <c:ptCount val="8"/>
                <c:pt idx="0">
                  <c:v>142.6</c:v>
                </c:pt>
                <c:pt idx="1">
                  <c:v>265.89999999999998</c:v>
                </c:pt>
                <c:pt idx="2">
                  <c:v>415.7</c:v>
                </c:pt>
                <c:pt idx="3">
                  <c:v>110.4</c:v>
                </c:pt>
                <c:pt idx="4">
                  <c:v>177.96199999999999</c:v>
                </c:pt>
                <c:pt idx="5">
                  <c:v>103.199</c:v>
                </c:pt>
                <c:pt idx="6">
                  <c:v>191.17</c:v>
                </c:pt>
                <c:pt idx="7">
                  <c:v>706.39099999999996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5-46A1-B90E-49FE8C806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038976"/>
        <c:axId val="1"/>
      </c:barChart>
      <c:catAx>
        <c:axId val="705038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  <c:crossAx val="7050389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Exports by area, 2016 - 2023 (€mn)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'FOREIGN TRADE COUNTRY'!$B$10</c:f>
              <c:strCache>
                <c:ptCount val="1"/>
                <c:pt idx="0">
                  <c:v> EU countries¹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COUNTRY'!$BP$10,'FOREIGN TRADE COUNTRY'!$BS$10,'FOREIGN TRADE COUNTRY'!$BV$10,'FOREIGN TRADE COUNTRY'!$BY$10,'FOREIGN TRADE COUNTRY'!$CB$10,'FOREIGN TRADE COUNTRY'!$CE$10,'FOREIGN TRADE COUNTRY'!$CH$10,'FOREIGN TRADE COUNTRY'!$CK$10)</c:f>
              <c:numCache>
                <c:formatCode>#,##0.0</c:formatCode>
                <c:ptCount val="8"/>
                <c:pt idx="0">
                  <c:v>877.7</c:v>
                </c:pt>
                <c:pt idx="1">
                  <c:v>814.4</c:v>
                </c:pt>
                <c:pt idx="2">
                  <c:v>923.3</c:v>
                </c:pt>
                <c:pt idx="3">
                  <c:v>1089.7</c:v>
                </c:pt>
                <c:pt idx="4">
                  <c:v>866.65300000000002</c:v>
                </c:pt>
                <c:pt idx="5">
                  <c:v>859.7</c:v>
                </c:pt>
                <c:pt idx="6">
                  <c:v>900.96799999999996</c:v>
                </c:pt>
                <c:pt idx="7">
                  <c:v>876.40599999999995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E-4027-A155-957E17409F46}"/>
            </c:ext>
          </c:extLst>
        </c:ser>
        <c:ser>
          <c:idx val="1"/>
          <c:order val="1"/>
          <c:tx>
            <c:strRef>
              <c:f>'FOREIGN TRADE COUNTRY'!$B$27</c:f>
              <c:strCache>
                <c:ptCount val="1"/>
                <c:pt idx="0">
                  <c:v> Non - EU countries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COUNTRY'!$BP$27,'FOREIGN TRADE COUNTRY'!$BS$27,'FOREIGN TRADE COUNTRY'!$BV$27,'FOREIGN TRADE COUNTRY'!$BY$27,'FOREIGN TRADE COUNTRY'!$CB$27,'FOREIGN TRADE COUNTRY'!$CE$27,'FOREIGN TRADE COUNTRY'!$CH$27,'FOREIGN TRADE COUNTRY'!$CK$27)</c:f>
              <c:numCache>
                <c:formatCode>#,##0.0</c:formatCode>
                <c:ptCount val="8"/>
                <c:pt idx="0">
                  <c:v>1587.7</c:v>
                </c:pt>
                <c:pt idx="1">
                  <c:v>1801.6</c:v>
                </c:pt>
                <c:pt idx="2">
                  <c:v>3024.1</c:v>
                </c:pt>
                <c:pt idx="3">
                  <c:v>1685</c:v>
                </c:pt>
                <c:pt idx="4">
                  <c:v>1674.2919999999999</c:v>
                </c:pt>
                <c:pt idx="5">
                  <c:v>2329.0050000000001</c:v>
                </c:pt>
                <c:pt idx="6">
                  <c:v>2849.2530000000002</c:v>
                </c:pt>
                <c:pt idx="7">
                  <c:v>3341.5479999999998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E-4027-A155-957E17409F46}"/>
            </c:ext>
          </c:extLst>
        </c:ser>
        <c:ser>
          <c:idx val="2"/>
          <c:order val="2"/>
          <c:tx>
            <c:strRef>
              <c:f>'FOREIGN TRADE COUNTRY'!$B$48:$C$48</c:f>
              <c:strCache>
                <c:ptCount val="2"/>
                <c:pt idx="0">
                  <c:v> Countries and territories 
 not specified³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COUNTRY'!$BP$48,'FOREIGN TRADE COUNTRY'!$BS$48,'FOREIGN TRADE COUNTRY'!$BV$48,'FOREIGN TRADE COUNTRY'!$BY$48,'FOREIGN TRADE COUNTRY'!$CB$48,'FOREIGN TRADE COUNTRY'!$CE$48,'FOREIGN TRADE COUNTRY'!$CH$48,'FOREIGN TRADE COUNTRY'!$CK$48)</c:f>
              <c:numCache>
                <c:formatCode>#,##0.0</c:formatCode>
                <c:ptCount val="8"/>
                <c:pt idx="0">
                  <c:v>48.4</c:v>
                </c:pt>
                <c:pt idx="1">
                  <c:v>109.1</c:v>
                </c:pt>
                <c:pt idx="2">
                  <c:v>44.2</c:v>
                </c:pt>
                <c:pt idx="3">
                  <c:v>27.8</c:v>
                </c:pt>
                <c:pt idx="4">
                  <c:v>40.450000000000003</c:v>
                </c:pt>
                <c:pt idx="5">
                  <c:v>29.43</c:v>
                </c:pt>
                <c:pt idx="6">
                  <c:v>59.865000000000002</c:v>
                </c:pt>
                <c:pt idx="7">
                  <c:v>74.278000000000006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1E-4027-A155-957E17409F46}"/>
            </c:ext>
          </c:extLst>
        </c:ser>
        <c:ser>
          <c:idx val="3"/>
          <c:order val="3"/>
          <c:tx>
            <c:strRef>
              <c:f>'FOREIGN TRADE COUNTRY'!$B$49</c:f>
              <c:strCache>
                <c:ptCount val="1"/>
                <c:pt idx="0">
                  <c:v> Stores and provisions³</c:v>
                </c:pt>
              </c:strCache>
            </c:strRef>
          </c:tx>
          <c:invertIfNegative val="0"/>
          <c:cat>
            <c:strRef>
              <c:f>('FOREIGN TRADE COUNTRY'!$BO$3,'FOREIGN TRADE COUNTRY'!$BR$3,'FOREIGN TRADE COUNTRY'!$BU$3,'FOREIGN TRADE COUNTRY'!$BX$3,'FOREIGN TRADE COUNTRY'!$CA$3,'FOREIGN TRADE COUNTRY'!$CD$3,'FOREIGN TRADE COUNTRY'!$CG$3,'FOREIGN TRADE COUNTRY'!$CJ$3)</c:f>
              <c:strCache>
                <c:ptCount val="8"/>
                <c:pt idx="0">
                  <c:v>2 0 1 6</c:v>
                </c:pt>
                <c:pt idx="1">
                  <c:v>2 0 1 7</c:v>
                </c:pt>
                <c:pt idx="2">
                  <c:v>2 0 1 8</c:v>
                </c:pt>
                <c:pt idx="3">
                  <c:v>2 0 1 9</c:v>
                </c:pt>
                <c:pt idx="4">
                  <c:v>2 0 2 0</c:v>
                </c:pt>
                <c:pt idx="5">
                  <c:v>2 0 2 1</c:v>
                </c:pt>
                <c:pt idx="6">
                  <c:v>2 0 2 2</c:v>
                </c:pt>
                <c:pt idx="7">
                  <c:v>2 0 2 3</c:v>
                </c:pt>
              </c:strCache>
            </c:strRef>
          </c:cat>
          <c:val>
            <c:numRef>
              <c:f>('FOREIGN TRADE COUNTRY'!$BP$49,'FOREIGN TRADE COUNTRY'!$BS$49,'FOREIGN TRADE COUNTRY'!$BV$49,'FOREIGN TRADE COUNTRY'!$BY$49,'FOREIGN TRADE COUNTRY'!$CB$49,'FOREIGN TRADE COUNTRY'!$CE$49,'FOREIGN TRADE COUNTRY'!$CH$49,'FOREIGN TRADE COUNTRY'!$CK$49)</c:f>
              <c:numCache>
                <c:formatCode>#,##0.0</c:formatCode>
                <c:ptCount val="8"/>
                <c:pt idx="0">
                  <c:v>200.4</c:v>
                </c:pt>
                <c:pt idx="1">
                  <c:v>243.4</c:v>
                </c:pt>
                <c:pt idx="2">
                  <c:v>318.3</c:v>
                </c:pt>
                <c:pt idx="3">
                  <c:v>334.5</c:v>
                </c:pt>
                <c:pt idx="4">
                  <c:v>165.15700000000001</c:v>
                </c:pt>
                <c:pt idx="5">
                  <c:v>220.77199999999999</c:v>
                </c:pt>
                <c:pt idx="6">
                  <c:v>540.16700000000003</c:v>
                </c:pt>
                <c:pt idx="7">
                  <c:v>394.05099999999999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58-48E1-88D2-1CB3C0AD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042720"/>
        <c:axId val="1"/>
      </c:barChart>
      <c:catAx>
        <c:axId val="705042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  <c:crossAx val="7050427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CY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447675</xdr:colOff>
      <xdr:row>0</xdr:row>
      <xdr:rowOff>0</xdr:rowOff>
    </xdr:from>
    <xdr:to>
      <xdr:col>88</xdr:col>
      <xdr:colOff>781050</xdr:colOff>
      <xdr:row>1</xdr:row>
      <xdr:rowOff>0</xdr:rowOff>
    </xdr:to>
    <xdr:pic>
      <xdr:nvPicPr>
        <xdr:cNvPr id="1111" name="Picture 1" descr="StatlogoSm1">
          <a:extLst>
            <a:ext uri="{FF2B5EF4-FFF2-40B4-BE49-F238E27FC236}">
              <a16:creationId xmlns:a16="http://schemas.microsoft.com/office/drawing/2014/main" id="{2C734562-C2A3-4245-BB66-E76B9410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91375" y="0"/>
          <a:ext cx="1133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15F2A-7A20-4D46-8EDE-64952AA0CC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B0BFF2-0765-4021-A6A7-B03D6A86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A62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2" defaultRowHeight="18"/>
  <cols>
    <col min="1" max="1" width="2.140625" style="2" customWidth="1"/>
    <col min="2" max="2" width="2.28515625" style="5" customWidth="1"/>
    <col min="3" max="3" width="30.28515625" style="5" customWidth="1"/>
    <col min="4" max="5" width="11.42578125" style="7" customWidth="1"/>
    <col min="6" max="6" width="0.85546875" style="1" customWidth="1"/>
    <col min="7" max="8" width="11.42578125" style="7" customWidth="1"/>
    <col min="9" max="9" width="0.85546875" style="1" customWidth="1"/>
    <col min="10" max="11" width="11.42578125" style="7" customWidth="1"/>
    <col min="12" max="12" width="0.85546875" style="1" customWidth="1"/>
    <col min="13" max="14" width="10.42578125" style="5" customWidth="1"/>
    <col min="15" max="15" width="0.85546875" style="1" customWidth="1"/>
    <col min="16" max="17" width="10.42578125" style="5" customWidth="1"/>
    <col min="18" max="18" width="0.85546875" style="1" customWidth="1"/>
    <col min="19" max="20" width="10.42578125" style="5" customWidth="1"/>
    <col min="21" max="21" width="0.85546875" style="5" customWidth="1"/>
    <col min="22" max="23" width="10.42578125" style="5" customWidth="1"/>
    <col min="24" max="24" width="0.85546875" style="5" customWidth="1"/>
    <col min="25" max="26" width="10.42578125" style="5" customWidth="1"/>
    <col min="27" max="27" width="0.85546875" style="5" customWidth="1"/>
    <col min="28" max="29" width="10.42578125" style="5" customWidth="1"/>
    <col min="30" max="30" width="0.85546875" style="5" customWidth="1"/>
    <col min="31" max="32" width="10.42578125" style="5" customWidth="1"/>
    <col min="33" max="33" width="0.85546875" style="5" customWidth="1"/>
    <col min="34" max="35" width="10.42578125" style="5" customWidth="1"/>
    <col min="36" max="36" width="0.85546875" style="5" customWidth="1"/>
    <col min="37" max="38" width="10.42578125" style="5" customWidth="1"/>
    <col min="39" max="39" width="0.85546875" style="5" customWidth="1"/>
    <col min="40" max="41" width="10.42578125" style="5" customWidth="1"/>
    <col min="42" max="42" width="0.85546875" style="5" customWidth="1"/>
    <col min="43" max="44" width="10.42578125" style="5" customWidth="1"/>
    <col min="45" max="45" width="0.85546875" style="5" customWidth="1"/>
    <col min="46" max="47" width="10.42578125" style="5" customWidth="1"/>
    <col min="48" max="48" width="0.85546875" style="5" customWidth="1"/>
    <col min="49" max="50" width="10.42578125" style="5" customWidth="1"/>
    <col min="51" max="51" width="0.85546875" style="5" customWidth="1"/>
    <col min="52" max="52" width="10.85546875" style="5" customWidth="1"/>
    <col min="53" max="53" width="10.42578125" style="5" customWidth="1"/>
    <col min="54" max="54" width="0.85546875" style="5" customWidth="1"/>
    <col min="55" max="55" width="10.85546875" style="5" customWidth="1"/>
    <col min="56" max="56" width="10.42578125" style="5" customWidth="1"/>
    <col min="57" max="57" width="0.85546875" style="5" customWidth="1"/>
    <col min="58" max="58" width="10.85546875" style="5" customWidth="1"/>
    <col min="59" max="59" width="10.42578125" style="5" customWidth="1"/>
    <col min="60" max="60" width="1" style="5" customWidth="1"/>
    <col min="61" max="61" width="10.85546875" style="5" customWidth="1"/>
    <col min="62" max="62" width="10.42578125" style="5" customWidth="1"/>
    <col min="63" max="63" width="1" style="5" customWidth="1"/>
    <col min="64" max="64" width="10.85546875" style="5" customWidth="1"/>
    <col min="65" max="65" width="10.42578125" style="5" customWidth="1"/>
    <col min="66" max="66" width="1" style="1" customWidth="1"/>
    <col min="67" max="68" width="12" style="5" customWidth="1"/>
    <col min="69" max="69" width="0.85546875" style="5" customWidth="1"/>
    <col min="70" max="71" width="12" style="5" customWidth="1"/>
    <col min="72" max="72" width="0.85546875" style="5" customWidth="1"/>
    <col min="73" max="74" width="12" style="5" customWidth="1"/>
    <col min="75" max="75" width="0.7109375" style="5" customWidth="1"/>
    <col min="76" max="77" width="12" style="5" customWidth="1"/>
    <col min="78" max="78" width="0.7109375" style="5" customWidth="1"/>
    <col min="79" max="80" width="12" style="5" customWidth="1"/>
    <col min="81" max="81" width="0.7109375" style="5" customWidth="1"/>
    <col min="82" max="83" width="12" style="133" customWidth="1"/>
    <col min="84" max="84" width="0.7109375" style="133" customWidth="1"/>
    <col min="85" max="86" width="12" style="133" customWidth="1"/>
    <col min="87" max="87" width="0.7109375" style="133" customWidth="1"/>
    <col min="88" max="89" width="12" style="133" customWidth="1"/>
    <col min="90" max="90" width="2.140625" style="5" customWidth="1"/>
    <col min="91" max="105" width="12" style="5" customWidth="1"/>
    <col min="106" max="16384" width="12" style="2"/>
  </cols>
  <sheetData>
    <row r="1" spans="2:105" ht="37.5" customHeight="1" thickBot="1">
      <c r="B1" s="59" t="s">
        <v>72</v>
      </c>
      <c r="C1" s="3"/>
      <c r="F1" s="5"/>
      <c r="I1" s="5"/>
      <c r="L1" s="5"/>
      <c r="O1" s="5"/>
      <c r="R1" s="5"/>
      <c r="U1" s="6"/>
      <c r="AP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</row>
    <row r="2" spans="2:105" ht="23.25" customHeight="1" thickTop="1">
      <c r="B2" s="54"/>
      <c r="C2" s="55"/>
      <c r="D2" s="58"/>
      <c r="E2" s="58"/>
      <c r="F2" s="57"/>
      <c r="G2" s="58"/>
      <c r="H2" s="58"/>
      <c r="I2" s="57"/>
      <c r="J2" s="58"/>
      <c r="K2" s="58"/>
      <c r="L2" s="57"/>
      <c r="M2" s="57"/>
      <c r="N2" s="57"/>
      <c r="O2" s="57"/>
      <c r="P2" s="57"/>
      <c r="Q2" s="57"/>
      <c r="R2" s="57"/>
      <c r="S2" s="57"/>
      <c r="T2" s="57"/>
      <c r="U2" s="54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6"/>
      <c r="AQ2" s="57"/>
      <c r="AR2" s="57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73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6"/>
      <c r="BZ2" s="76"/>
      <c r="CA2" s="74"/>
      <c r="CB2" s="76"/>
      <c r="CC2" s="76"/>
      <c r="CD2" s="162"/>
      <c r="CE2" s="163"/>
      <c r="CF2" s="163"/>
      <c r="CG2" s="162"/>
      <c r="CH2" s="163"/>
      <c r="CI2" s="163"/>
      <c r="CJ2" s="162"/>
      <c r="CK2" s="163" t="s">
        <v>56</v>
      </c>
    </row>
    <row r="3" spans="2:105" s="7" customFormat="1" ht="14.25" customHeight="1">
      <c r="B3" s="45"/>
      <c r="C3" s="46"/>
      <c r="D3" s="183" t="s">
        <v>0</v>
      </c>
      <c r="E3" s="183"/>
      <c r="F3" s="35"/>
      <c r="G3" s="183" t="s">
        <v>33</v>
      </c>
      <c r="H3" s="183"/>
      <c r="I3" s="34"/>
      <c r="J3" s="183" t="s">
        <v>1</v>
      </c>
      <c r="K3" s="183"/>
      <c r="L3" s="34"/>
      <c r="M3" s="183" t="s">
        <v>2</v>
      </c>
      <c r="N3" s="183"/>
      <c r="O3" s="34"/>
      <c r="P3" s="183" t="s">
        <v>17</v>
      </c>
      <c r="Q3" s="183"/>
      <c r="R3" s="34"/>
      <c r="S3" s="183" t="s">
        <v>22</v>
      </c>
      <c r="T3" s="183"/>
      <c r="U3" s="34"/>
      <c r="V3" s="183" t="s">
        <v>21</v>
      </c>
      <c r="W3" s="183"/>
      <c r="X3" s="33"/>
      <c r="Y3" s="183" t="s">
        <v>20</v>
      </c>
      <c r="Z3" s="183"/>
      <c r="AA3" s="32"/>
      <c r="AB3" s="183" t="s">
        <v>23</v>
      </c>
      <c r="AC3" s="183"/>
      <c r="AD3" s="32"/>
      <c r="AE3" s="183" t="s">
        <v>24</v>
      </c>
      <c r="AF3" s="183"/>
      <c r="AG3" s="32"/>
      <c r="AH3" s="183" t="s">
        <v>26</v>
      </c>
      <c r="AI3" s="183"/>
      <c r="AJ3" s="32"/>
      <c r="AK3" s="183" t="s">
        <v>27</v>
      </c>
      <c r="AL3" s="183"/>
      <c r="AM3" s="32"/>
      <c r="AN3" s="183" t="s">
        <v>28</v>
      </c>
      <c r="AO3" s="183"/>
      <c r="AP3" s="32"/>
      <c r="AQ3" s="183" t="s">
        <v>29</v>
      </c>
      <c r="AR3" s="183"/>
      <c r="AS3" s="32"/>
      <c r="AT3" s="183" t="s">
        <v>30</v>
      </c>
      <c r="AU3" s="183"/>
      <c r="AV3" s="32"/>
      <c r="AW3" s="178" t="s">
        <v>31</v>
      </c>
      <c r="AX3" s="179"/>
      <c r="AY3" s="33"/>
      <c r="AZ3" s="178" t="s">
        <v>32</v>
      </c>
      <c r="BA3" s="179"/>
      <c r="BB3" s="33"/>
      <c r="BC3" s="178" t="s">
        <v>35</v>
      </c>
      <c r="BD3" s="179"/>
      <c r="BE3" s="33"/>
      <c r="BF3" s="178" t="s">
        <v>34</v>
      </c>
      <c r="BG3" s="179"/>
      <c r="BH3" s="67"/>
      <c r="BI3" s="178" t="s">
        <v>40</v>
      </c>
      <c r="BJ3" s="179"/>
      <c r="BK3" s="33"/>
      <c r="BL3" s="178" t="s">
        <v>41</v>
      </c>
      <c r="BM3" s="182"/>
      <c r="BN3" s="33"/>
      <c r="BO3" s="178" t="s">
        <v>42</v>
      </c>
      <c r="BP3" s="179"/>
      <c r="BQ3" s="77"/>
      <c r="BR3" s="178" t="s">
        <v>43</v>
      </c>
      <c r="BS3" s="179"/>
      <c r="BT3" s="77"/>
      <c r="BU3" s="178" t="s">
        <v>45</v>
      </c>
      <c r="BV3" s="179"/>
      <c r="BW3" s="75"/>
      <c r="BX3" s="178" t="s">
        <v>52</v>
      </c>
      <c r="BY3" s="179"/>
      <c r="BZ3" s="75"/>
      <c r="CA3" s="178" t="s">
        <v>59</v>
      </c>
      <c r="CB3" s="179"/>
      <c r="CC3" s="192"/>
      <c r="CD3" s="189" t="s">
        <v>64</v>
      </c>
      <c r="CE3" s="181"/>
      <c r="CF3" s="164"/>
      <c r="CG3" s="180" t="s">
        <v>66</v>
      </c>
      <c r="CH3" s="181"/>
      <c r="CI3" s="164"/>
      <c r="CJ3" s="180" t="s">
        <v>74</v>
      </c>
      <c r="CK3" s="181"/>
    </row>
    <row r="4" spans="2:105" ht="18.75" customHeight="1">
      <c r="B4" s="187" t="s">
        <v>55</v>
      </c>
      <c r="C4" s="188"/>
      <c r="D4" s="186" t="s">
        <v>3</v>
      </c>
      <c r="E4" s="186"/>
      <c r="F4" s="25"/>
      <c r="G4" s="186" t="s">
        <v>3</v>
      </c>
      <c r="H4" s="186"/>
      <c r="I4" s="25"/>
      <c r="J4" s="186" t="s">
        <v>3</v>
      </c>
      <c r="K4" s="186"/>
      <c r="L4" s="25"/>
      <c r="M4" s="177" t="s">
        <v>3</v>
      </c>
      <c r="N4" s="177"/>
      <c r="O4" s="25"/>
      <c r="P4" s="177" t="s">
        <v>3</v>
      </c>
      <c r="Q4" s="177"/>
      <c r="R4" s="25"/>
      <c r="S4" s="177" t="s">
        <v>3</v>
      </c>
      <c r="T4" s="177"/>
      <c r="U4" s="26"/>
      <c r="V4" s="177" t="s">
        <v>3</v>
      </c>
      <c r="W4" s="177"/>
      <c r="X4" s="25"/>
      <c r="Y4" s="177" t="s">
        <v>3</v>
      </c>
      <c r="Z4" s="177"/>
      <c r="AA4" s="24"/>
      <c r="AB4" s="177" t="s">
        <v>3</v>
      </c>
      <c r="AC4" s="177"/>
      <c r="AD4" s="24"/>
      <c r="AE4" s="177" t="s">
        <v>3</v>
      </c>
      <c r="AF4" s="177"/>
      <c r="AG4" s="24"/>
      <c r="AH4" s="177" t="s">
        <v>3</v>
      </c>
      <c r="AI4" s="177"/>
      <c r="AJ4" s="24"/>
      <c r="AK4" s="177" t="s">
        <v>3</v>
      </c>
      <c r="AL4" s="177"/>
      <c r="AM4" s="24"/>
      <c r="AN4" s="177" t="s">
        <v>3</v>
      </c>
      <c r="AO4" s="177"/>
      <c r="AP4" s="24"/>
      <c r="AQ4" s="177" t="s">
        <v>3</v>
      </c>
      <c r="AR4" s="177"/>
      <c r="AS4" s="24"/>
      <c r="AT4" s="177" t="s">
        <v>3</v>
      </c>
      <c r="AU4" s="177"/>
      <c r="AV4" s="24"/>
      <c r="AW4" s="177" t="s">
        <v>3</v>
      </c>
      <c r="AX4" s="177"/>
      <c r="AY4" s="24"/>
      <c r="AZ4" s="177" t="s">
        <v>3</v>
      </c>
      <c r="BA4" s="177"/>
      <c r="BB4" s="24"/>
      <c r="BC4" s="177" t="s">
        <v>3</v>
      </c>
      <c r="BD4" s="177"/>
      <c r="BE4" s="24"/>
      <c r="BF4" s="177" t="s">
        <v>3</v>
      </c>
      <c r="BG4" s="177"/>
      <c r="BH4" s="68"/>
      <c r="BI4" s="177" t="s">
        <v>3</v>
      </c>
      <c r="BJ4" s="177"/>
      <c r="BK4" s="24"/>
      <c r="BL4" s="177" t="s">
        <v>3</v>
      </c>
      <c r="BM4" s="177"/>
      <c r="BN4" s="24"/>
      <c r="BO4" s="177" t="s">
        <v>3</v>
      </c>
      <c r="BP4" s="177"/>
      <c r="BR4" s="177" t="s">
        <v>3</v>
      </c>
      <c r="BS4" s="177"/>
      <c r="BU4" s="177" t="s">
        <v>3</v>
      </c>
      <c r="BV4" s="177"/>
      <c r="BW4" s="24"/>
      <c r="BX4" s="177" t="s">
        <v>3</v>
      </c>
      <c r="BY4" s="177"/>
      <c r="BZ4" s="24"/>
      <c r="CA4" s="177" t="s">
        <v>3</v>
      </c>
      <c r="CB4" s="177"/>
      <c r="CC4" s="24"/>
      <c r="CD4" s="190" t="s">
        <v>3</v>
      </c>
      <c r="CE4" s="176"/>
      <c r="CF4" s="165"/>
      <c r="CG4" s="176" t="s">
        <v>3</v>
      </c>
      <c r="CH4" s="176"/>
      <c r="CI4" s="165"/>
      <c r="CJ4" s="176" t="s">
        <v>3</v>
      </c>
      <c r="CK4" s="176"/>
    </row>
    <row r="5" spans="2:105" ht="15.75" customHeight="1">
      <c r="B5" s="42"/>
      <c r="C5" s="47"/>
      <c r="D5" s="36" t="s">
        <v>4</v>
      </c>
      <c r="E5" s="38" t="s">
        <v>16</v>
      </c>
      <c r="F5" s="25"/>
      <c r="G5" s="30" t="s">
        <v>4</v>
      </c>
      <c r="H5" s="30" t="s">
        <v>16</v>
      </c>
      <c r="I5" s="25"/>
      <c r="J5" s="30" t="s">
        <v>4</v>
      </c>
      <c r="K5" s="30" t="s">
        <v>16</v>
      </c>
      <c r="L5" s="25"/>
      <c r="M5" s="20" t="s">
        <v>4</v>
      </c>
      <c r="N5" s="21" t="s">
        <v>16</v>
      </c>
      <c r="O5" s="25"/>
      <c r="P5" s="20" t="s">
        <v>4</v>
      </c>
      <c r="Q5" s="21" t="s">
        <v>16</v>
      </c>
      <c r="R5" s="25"/>
      <c r="S5" s="20" t="s">
        <v>4</v>
      </c>
      <c r="T5" s="21" t="s">
        <v>16</v>
      </c>
      <c r="U5" s="29"/>
      <c r="V5" s="20" t="s">
        <v>4</v>
      </c>
      <c r="W5" s="21" t="s">
        <v>16</v>
      </c>
      <c r="X5" s="28"/>
      <c r="Y5" s="20" t="s">
        <v>4</v>
      </c>
      <c r="Z5" s="21" t="s">
        <v>16</v>
      </c>
      <c r="AA5" s="27"/>
      <c r="AB5" s="20" t="s">
        <v>4</v>
      </c>
      <c r="AC5" s="21" t="s">
        <v>16</v>
      </c>
      <c r="AD5" s="27"/>
      <c r="AE5" s="20" t="s">
        <v>4</v>
      </c>
      <c r="AF5" s="21" t="s">
        <v>16</v>
      </c>
      <c r="AG5" s="27"/>
      <c r="AH5" s="20" t="s">
        <v>4</v>
      </c>
      <c r="AI5" s="21" t="s">
        <v>16</v>
      </c>
      <c r="AJ5" s="27"/>
      <c r="AK5" s="20" t="s">
        <v>4</v>
      </c>
      <c r="AL5" s="21" t="s">
        <v>16</v>
      </c>
      <c r="AM5" s="27"/>
      <c r="AN5" s="20" t="s">
        <v>4</v>
      </c>
      <c r="AO5" s="21" t="s">
        <v>16</v>
      </c>
      <c r="AP5" s="27"/>
      <c r="AQ5" s="20" t="s">
        <v>4</v>
      </c>
      <c r="AR5" s="21" t="s">
        <v>16</v>
      </c>
      <c r="AS5" s="27"/>
      <c r="AT5" s="20" t="s">
        <v>4</v>
      </c>
      <c r="AU5" s="21" t="s">
        <v>16</v>
      </c>
      <c r="AV5" s="27"/>
      <c r="AW5" s="20" t="s">
        <v>4</v>
      </c>
      <c r="AX5" s="21" t="s">
        <v>16</v>
      </c>
      <c r="AY5" s="61"/>
      <c r="AZ5" s="20" t="s">
        <v>4</v>
      </c>
      <c r="BA5" s="21" t="s">
        <v>16</v>
      </c>
      <c r="BB5" s="61"/>
      <c r="BC5" s="20" t="s">
        <v>4</v>
      </c>
      <c r="BD5" s="21" t="s">
        <v>16</v>
      </c>
      <c r="BE5" s="61"/>
      <c r="BF5" s="20" t="s">
        <v>4</v>
      </c>
      <c r="BG5" s="21" t="s">
        <v>16</v>
      </c>
      <c r="BH5" s="20"/>
      <c r="BI5" s="20" t="s">
        <v>4</v>
      </c>
      <c r="BJ5" s="21" t="s">
        <v>16</v>
      </c>
      <c r="BK5" s="27"/>
      <c r="BL5" s="20" t="s">
        <v>4</v>
      </c>
      <c r="BM5" s="21" t="s">
        <v>16</v>
      </c>
      <c r="BN5" s="27"/>
      <c r="BO5" s="20" t="s">
        <v>4</v>
      </c>
      <c r="BP5" s="21" t="s">
        <v>16</v>
      </c>
      <c r="BQ5" s="9"/>
      <c r="BR5" s="20" t="s">
        <v>4</v>
      </c>
      <c r="BS5" s="21" t="s">
        <v>16</v>
      </c>
      <c r="BT5" s="9"/>
      <c r="BU5" s="20" t="s">
        <v>4</v>
      </c>
      <c r="BV5" s="21" t="s">
        <v>16</v>
      </c>
      <c r="BW5" s="61"/>
      <c r="BX5" s="20" t="s">
        <v>4</v>
      </c>
      <c r="BY5" s="21" t="s">
        <v>16</v>
      </c>
      <c r="BZ5" s="61"/>
      <c r="CA5" s="20" t="s">
        <v>4</v>
      </c>
      <c r="CB5" s="21" t="s">
        <v>16</v>
      </c>
      <c r="CC5" s="27"/>
      <c r="CD5" s="191" t="s">
        <v>4</v>
      </c>
      <c r="CE5" s="167" t="s">
        <v>16</v>
      </c>
      <c r="CF5" s="168"/>
      <c r="CG5" s="166" t="s">
        <v>4</v>
      </c>
      <c r="CH5" s="167" t="s">
        <v>16</v>
      </c>
      <c r="CI5" s="168"/>
      <c r="CJ5" s="166" t="s">
        <v>4</v>
      </c>
      <c r="CK5" s="167" t="s">
        <v>16</v>
      </c>
      <c r="CL5" s="9"/>
      <c r="CM5" s="9"/>
      <c r="CN5" s="9"/>
      <c r="CO5" s="9"/>
      <c r="CP5" s="9"/>
    </row>
    <row r="6" spans="2:105" ht="15.75" customHeight="1">
      <c r="B6" s="42"/>
      <c r="C6" s="47"/>
      <c r="D6" s="36" t="s">
        <v>19</v>
      </c>
      <c r="E6" s="38" t="s">
        <v>18</v>
      </c>
      <c r="F6" s="25"/>
      <c r="G6" s="30" t="s">
        <v>19</v>
      </c>
      <c r="H6" s="30" t="s">
        <v>18</v>
      </c>
      <c r="I6" s="25"/>
      <c r="J6" s="30" t="s">
        <v>19</v>
      </c>
      <c r="K6" s="30" t="s">
        <v>18</v>
      </c>
      <c r="L6" s="25"/>
      <c r="M6" s="20" t="s">
        <v>19</v>
      </c>
      <c r="N6" s="21" t="s">
        <v>18</v>
      </c>
      <c r="O6" s="25"/>
      <c r="P6" s="20" t="s">
        <v>19</v>
      </c>
      <c r="Q6" s="21" t="s">
        <v>18</v>
      </c>
      <c r="R6" s="25"/>
      <c r="S6" s="20" t="s">
        <v>19</v>
      </c>
      <c r="T6" s="21" t="s">
        <v>18</v>
      </c>
      <c r="U6" s="29"/>
      <c r="V6" s="20" t="s">
        <v>19</v>
      </c>
      <c r="W6" s="21" t="s">
        <v>18</v>
      </c>
      <c r="X6" s="28"/>
      <c r="Y6" s="20" t="s">
        <v>19</v>
      </c>
      <c r="Z6" s="21" t="s">
        <v>18</v>
      </c>
      <c r="AA6" s="27"/>
      <c r="AB6" s="20" t="s">
        <v>19</v>
      </c>
      <c r="AC6" s="21" t="s">
        <v>18</v>
      </c>
      <c r="AD6" s="27"/>
      <c r="AE6" s="20" t="s">
        <v>19</v>
      </c>
      <c r="AF6" s="21" t="s">
        <v>18</v>
      </c>
      <c r="AG6" s="27"/>
      <c r="AH6" s="20" t="s">
        <v>19</v>
      </c>
      <c r="AI6" s="21" t="s">
        <v>18</v>
      </c>
      <c r="AJ6" s="27"/>
      <c r="AK6" s="20" t="s">
        <v>19</v>
      </c>
      <c r="AL6" s="21" t="s">
        <v>18</v>
      </c>
      <c r="AM6" s="27"/>
      <c r="AN6" s="20" t="s">
        <v>19</v>
      </c>
      <c r="AO6" s="21" t="s">
        <v>18</v>
      </c>
      <c r="AP6" s="27"/>
      <c r="AQ6" s="20" t="s">
        <v>19</v>
      </c>
      <c r="AR6" s="21" t="s">
        <v>18</v>
      </c>
      <c r="AS6" s="27"/>
      <c r="AT6" s="20" t="s">
        <v>19</v>
      </c>
      <c r="AU6" s="21" t="s">
        <v>18</v>
      </c>
      <c r="AV6" s="27"/>
      <c r="AW6" s="20" t="s">
        <v>19</v>
      </c>
      <c r="AX6" s="21" t="s">
        <v>18</v>
      </c>
      <c r="AY6" s="61"/>
      <c r="AZ6" s="20" t="s">
        <v>19</v>
      </c>
      <c r="BA6" s="21" t="s">
        <v>18</v>
      </c>
      <c r="BB6" s="61"/>
      <c r="BC6" s="20" t="s">
        <v>19</v>
      </c>
      <c r="BD6" s="21" t="s">
        <v>18</v>
      </c>
      <c r="BE6" s="61"/>
      <c r="BF6" s="20" t="s">
        <v>19</v>
      </c>
      <c r="BG6" s="21" t="s">
        <v>18</v>
      </c>
      <c r="BH6" s="20"/>
      <c r="BI6" s="20" t="s">
        <v>19</v>
      </c>
      <c r="BJ6" s="21" t="s">
        <v>18</v>
      </c>
      <c r="BK6" s="27"/>
      <c r="BL6" s="20" t="s">
        <v>19</v>
      </c>
      <c r="BM6" s="21" t="s">
        <v>18</v>
      </c>
      <c r="BN6" s="27"/>
      <c r="BO6" s="20" t="s">
        <v>19</v>
      </c>
      <c r="BP6" s="21" t="s">
        <v>18</v>
      </c>
      <c r="BQ6" s="9"/>
      <c r="BR6" s="20" t="s">
        <v>19</v>
      </c>
      <c r="BS6" s="21" t="s">
        <v>18</v>
      </c>
      <c r="BT6" s="9"/>
      <c r="BU6" s="20" t="s">
        <v>19</v>
      </c>
      <c r="BV6" s="21" t="s">
        <v>18</v>
      </c>
      <c r="BW6" s="61"/>
      <c r="BX6" s="20" t="s">
        <v>19</v>
      </c>
      <c r="BY6" s="21" t="s">
        <v>18</v>
      </c>
      <c r="BZ6" s="61"/>
      <c r="CA6" s="20" t="s">
        <v>19</v>
      </c>
      <c r="CB6" s="21" t="s">
        <v>18</v>
      </c>
      <c r="CC6" s="27"/>
      <c r="CD6" s="191" t="s">
        <v>19</v>
      </c>
      <c r="CE6" s="167" t="s">
        <v>18</v>
      </c>
      <c r="CF6" s="168"/>
      <c r="CG6" s="166" t="s">
        <v>19</v>
      </c>
      <c r="CH6" s="167" t="s">
        <v>18</v>
      </c>
      <c r="CI6" s="168"/>
      <c r="CJ6" s="166" t="s">
        <v>19</v>
      </c>
      <c r="CK6" s="167" t="s">
        <v>18</v>
      </c>
      <c r="CL6" s="9"/>
      <c r="CM6" s="9"/>
      <c r="CN6" s="9"/>
      <c r="CO6" s="9"/>
      <c r="CP6" s="9"/>
    </row>
    <row r="7" spans="2:105" ht="6" customHeight="1" thickBot="1">
      <c r="B7" s="48"/>
      <c r="C7" s="49"/>
      <c r="D7" s="37"/>
      <c r="E7" s="39"/>
      <c r="F7" s="25"/>
      <c r="G7" s="31"/>
      <c r="H7" s="31"/>
      <c r="I7" s="25"/>
      <c r="J7" s="31"/>
      <c r="K7" s="31"/>
      <c r="L7" s="25"/>
      <c r="M7" s="22"/>
      <c r="N7" s="23"/>
      <c r="O7" s="25"/>
      <c r="P7" s="22"/>
      <c r="Q7" s="23"/>
      <c r="R7" s="25"/>
      <c r="S7" s="22"/>
      <c r="T7" s="23"/>
      <c r="U7" s="29"/>
      <c r="V7" s="22"/>
      <c r="W7" s="23"/>
      <c r="X7" s="28"/>
      <c r="Y7" s="22"/>
      <c r="Z7" s="23"/>
      <c r="AA7" s="27"/>
      <c r="AB7" s="22"/>
      <c r="AC7" s="23"/>
      <c r="AD7" s="27"/>
      <c r="AE7" s="22"/>
      <c r="AF7" s="23"/>
      <c r="AG7" s="27"/>
      <c r="AH7" s="22"/>
      <c r="AI7" s="23"/>
      <c r="AJ7" s="27"/>
      <c r="AK7" s="22"/>
      <c r="AL7" s="23"/>
      <c r="AM7" s="27"/>
      <c r="AN7" s="22"/>
      <c r="AO7" s="23"/>
      <c r="AP7" s="27"/>
      <c r="AQ7" s="22"/>
      <c r="AR7" s="23"/>
      <c r="AS7" s="27"/>
      <c r="AT7" s="22"/>
      <c r="AU7" s="23"/>
      <c r="AV7" s="27"/>
      <c r="AW7" s="22"/>
      <c r="AX7" s="23"/>
      <c r="AY7" s="27"/>
      <c r="AZ7" s="22"/>
      <c r="BA7" s="23"/>
      <c r="BB7" s="27"/>
      <c r="BC7" s="22"/>
      <c r="BD7" s="23"/>
      <c r="BE7" s="27"/>
      <c r="BF7" s="22"/>
      <c r="BG7" s="23"/>
      <c r="BH7" s="20"/>
      <c r="BI7" s="22"/>
      <c r="BJ7" s="23"/>
      <c r="BK7" s="27"/>
      <c r="BL7" s="22"/>
      <c r="BM7" s="23"/>
      <c r="BN7" s="27"/>
      <c r="BO7" s="22"/>
      <c r="BP7" s="23"/>
      <c r="BQ7" s="9"/>
      <c r="BR7" s="22"/>
      <c r="BS7" s="23"/>
      <c r="BT7" s="9"/>
      <c r="BU7" s="22"/>
      <c r="BV7" s="23"/>
      <c r="BW7" s="27"/>
      <c r="BX7" s="22"/>
      <c r="BY7" s="23"/>
      <c r="BZ7" s="79"/>
      <c r="CA7" s="22"/>
      <c r="CB7" s="23"/>
      <c r="CC7" s="193"/>
      <c r="CD7" s="171"/>
      <c r="CE7" s="170"/>
      <c r="CF7" s="171"/>
      <c r="CG7" s="169"/>
      <c r="CH7" s="170"/>
      <c r="CI7" s="171"/>
      <c r="CJ7" s="169"/>
      <c r="CK7" s="170"/>
      <c r="CL7" s="9"/>
      <c r="CM7" s="9"/>
      <c r="CN7" s="9"/>
      <c r="CO7" s="9"/>
      <c r="CP7" s="9"/>
    </row>
    <row r="8" spans="2:105" ht="6" customHeight="1">
      <c r="B8" s="40"/>
      <c r="C8" s="41"/>
      <c r="D8" s="19"/>
      <c r="E8" s="19"/>
      <c r="F8" s="18"/>
      <c r="G8" s="19"/>
      <c r="H8" s="19"/>
      <c r="I8" s="18"/>
      <c r="J8" s="19"/>
      <c r="K8" s="19"/>
      <c r="L8" s="18"/>
      <c r="M8" s="15"/>
      <c r="N8" s="15"/>
      <c r="O8" s="18"/>
      <c r="P8" s="15"/>
      <c r="Q8" s="15"/>
      <c r="R8" s="18"/>
      <c r="S8" s="15"/>
      <c r="T8" s="15"/>
      <c r="U8" s="17"/>
      <c r="V8" s="15"/>
      <c r="W8" s="15"/>
      <c r="X8" s="16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69"/>
      <c r="BI8" s="71"/>
      <c r="BJ8" s="15"/>
      <c r="BK8" s="15"/>
      <c r="BL8" s="15"/>
      <c r="BM8" s="15"/>
      <c r="BN8" s="15"/>
      <c r="BO8" s="15"/>
      <c r="BP8" s="15"/>
      <c r="BQ8" s="9"/>
      <c r="BR8" s="15"/>
      <c r="BS8" s="15"/>
      <c r="BT8" s="9"/>
      <c r="BU8" s="15"/>
      <c r="BV8" s="15"/>
      <c r="BW8" s="15"/>
      <c r="BX8" s="15"/>
      <c r="BY8" s="15"/>
      <c r="BZ8" s="15"/>
      <c r="CA8" s="15"/>
      <c r="CB8" s="15"/>
      <c r="CC8" s="15"/>
      <c r="CD8" s="172"/>
      <c r="CE8" s="172"/>
      <c r="CF8" s="172"/>
      <c r="CG8" s="172"/>
      <c r="CH8" s="172"/>
      <c r="CI8" s="172"/>
      <c r="CJ8" s="172"/>
      <c r="CK8" s="172"/>
      <c r="CL8" s="9"/>
      <c r="CM8" s="9"/>
      <c r="CN8" s="9"/>
      <c r="CO8" s="9"/>
      <c r="CP8" s="9"/>
    </row>
    <row r="9" spans="2:105" s="92" customFormat="1" ht="22.5" customHeight="1">
      <c r="B9" s="82" t="s">
        <v>58</v>
      </c>
      <c r="C9" s="83"/>
      <c r="D9" s="84">
        <f>2854062/1000</f>
        <v>2854.0619999999999</v>
      </c>
      <c r="E9" s="85">
        <v>949.31</v>
      </c>
      <c r="F9" s="86"/>
      <c r="G9" s="85">
        <f>3173742/1000</f>
        <v>3173.7420000000002</v>
      </c>
      <c r="H9" s="85">
        <v>1108.9280000000001</v>
      </c>
      <c r="I9" s="85"/>
      <c r="J9" s="85">
        <f>3245214/1000</f>
        <v>3245.2139999999999</v>
      </c>
      <c r="K9" s="85">
        <v>1093.53</v>
      </c>
      <c r="L9" s="85"/>
      <c r="M9" s="85">
        <f>3254391/1000</f>
        <v>3254.3910000000001</v>
      </c>
      <c r="N9" s="85">
        <v>941.66800000000001</v>
      </c>
      <c r="O9" s="85"/>
      <c r="P9" s="85">
        <f>3367491/1000</f>
        <v>3367.491</v>
      </c>
      <c r="Q9" s="85">
        <v>927.63199999999995</v>
      </c>
      <c r="R9" s="85"/>
      <c r="S9" s="85">
        <f>4103976/1000</f>
        <v>4103.9759999999997</v>
      </c>
      <c r="T9" s="85">
        <v>1011.26</v>
      </c>
      <c r="U9" s="85"/>
      <c r="V9" s="85">
        <f>4320574/1000</f>
        <v>4320.5739999999996</v>
      </c>
      <c r="W9" s="85">
        <v>1073.0509999999999</v>
      </c>
      <c r="X9" s="85"/>
      <c r="Y9" s="85">
        <f>4248629/1000</f>
        <v>4248.6289999999999</v>
      </c>
      <c r="Z9" s="85">
        <v>873.56899999999996</v>
      </c>
      <c r="AA9" s="85"/>
      <c r="AB9" s="85">
        <f>3936673/1000</f>
        <v>3936.6729999999998</v>
      </c>
      <c r="AC9" s="85">
        <v>814.66</v>
      </c>
      <c r="AD9" s="85"/>
      <c r="AE9" s="85">
        <f>4577860/1000</f>
        <v>4577.8599999999997</v>
      </c>
      <c r="AF9" s="85">
        <v>936.36900000000003</v>
      </c>
      <c r="AG9" s="85"/>
      <c r="AH9" s="85">
        <v>5069.0690000000004</v>
      </c>
      <c r="AI9" s="85">
        <v>1228.7429999999999</v>
      </c>
      <c r="AJ9" s="85"/>
      <c r="AK9" s="85">
        <v>5513.4549999999999</v>
      </c>
      <c r="AL9" s="85">
        <v>1111.758</v>
      </c>
      <c r="AM9" s="87"/>
      <c r="AN9" s="85">
        <v>6353.4440000000004</v>
      </c>
      <c r="AO9" s="85">
        <v>1082.6679999999999</v>
      </c>
      <c r="AP9" s="87"/>
      <c r="AQ9" s="85">
        <v>7366.65</v>
      </c>
      <c r="AR9" s="85">
        <v>1190.3689999999999</v>
      </c>
      <c r="AS9" s="87"/>
      <c r="AT9" s="85">
        <v>5691.7780000000002</v>
      </c>
      <c r="AU9" s="85">
        <v>970.447</v>
      </c>
      <c r="AV9" s="87"/>
      <c r="AW9" s="85">
        <v>6517.4129999999996</v>
      </c>
      <c r="AX9" s="85">
        <v>1136.788</v>
      </c>
      <c r="AY9" s="85"/>
      <c r="AZ9" s="85">
        <v>6310.5</v>
      </c>
      <c r="BA9" s="85">
        <v>1404</v>
      </c>
      <c r="BB9" s="85"/>
      <c r="BC9" s="85">
        <v>5742.2</v>
      </c>
      <c r="BD9" s="85">
        <v>1422.4</v>
      </c>
      <c r="BE9" s="85"/>
      <c r="BF9" s="85">
        <v>4830.3999999999996</v>
      </c>
      <c r="BG9" s="85">
        <v>1609.3</v>
      </c>
      <c r="BH9" s="88"/>
      <c r="BI9" s="89">
        <v>6070.4</v>
      </c>
      <c r="BJ9" s="85">
        <v>2453.1999999999998</v>
      </c>
      <c r="BK9" s="85"/>
      <c r="BL9" s="85">
        <v>6434.7</v>
      </c>
      <c r="BM9" s="85">
        <v>3027.3</v>
      </c>
      <c r="BN9" s="85"/>
      <c r="BO9" s="85">
        <v>7117.5</v>
      </c>
      <c r="BP9" s="85">
        <v>2714.2</v>
      </c>
      <c r="BQ9" s="90"/>
      <c r="BR9" s="85">
        <v>8216.2000000000007</v>
      </c>
      <c r="BS9" s="85">
        <v>2968.4</v>
      </c>
      <c r="BT9" s="90"/>
      <c r="BU9" s="85">
        <v>9200</v>
      </c>
      <c r="BV9" s="85">
        <v>4309.8999999999996</v>
      </c>
      <c r="BW9" s="85"/>
      <c r="BX9" s="85">
        <v>8200.1</v>
      </c>
      <c r="BY9" s="85">
        <v>3137</v>
      </c>
      <c r="BZ9" s="85"/>
      <c r="CA9" s="85">
        <v>7642.0959999999995</v>
      </c>
      <c r="CB9" s="85">
        <v>2746.5509999999999</v>
      </c>
      <c r="CC9" s="85"/>
      <c r="CD9" s="173">
        <v>8726.2999999999993</v>
      </c>
      <c r="CE9" s="173">
        <v>3438.9430000000002</v>
      </c>
      <c r="CF9" s="173"/>
      <c r="CG9" s="173">
        <v>11478.188</v>
      </c>
      <c r="CH9" s="173">
        <v>4350.2520000000004</v>
      </c>
      <c r="CI9" s="173"/>
      <c r="CJ9" s="173">
        <v>12948.896000000001</v>
      </c>
      <c r="CK9" s="173">
        <v>4686.2830000000004</v>
      </c>
      <c r="CL9" s="91"/>
      <c r="CM9" s="91"/>
      <c r="CN9" s="91"/>
      <c r="CO9" s="91"/>
      <c r="CP9" s="91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</row>
    <row r="10" spans="2:105" s="102" customFormat="1" ht="21" customHeight="1">
      <c r="B10" s="93" t="s">
        <v>57</v>
      </c>
      <c r="C10" s="94"/>
      <c r="D10" s="95">
        <v>1190</v>
      </c>
      <c r="E10" s="96">
        <v>346.1</v>
      </c>
      <c r="F10" s="97"/>
      <c r="G10" s="97">
        <v>1245.0999999999999</v>
      </c>
      <c r="H10" s="97">
        <v>402.1</v>
      </c>
      <c r="I10" s="97"/>
      <c r="J10" s="97">
        <v>1222.3</v>
      </c>
      <c r="K10" s="97">
        <v>314.2</v>
      </c>
      <c r="L10" s="97"/>
      <c r="M10" s="97">
        <v>1469</v>
      </c>
      <c r="N10" s="97">
        <v>293.10000000000002</v>
      </c>
      <c r="O10" s="97"/>
      <c r="P10" s="97">
        <v>1441.7</v>
      </c>
      <c r="Q10" s="97">
        <v>278.5</v>
      </c>
      <c r="R10" s="97"/>
      <c r="S10" s="97">
        <v>1736.3</v>
      </c>
      <c r="T10" s="97">
        <v>234.3</v>
      </c>
      <c r="U10" s="97"/>
      <c r="V10" s="97">
        <v>1903</v>
      </c>
      <c r="W10" s="97">
        <v>247.7</v>
      </c>
      <c r="X10" s="97"/>
      <c r="Y10" s="97">
        <v>1969.6</v>
      </c>
      <c r="Z10" s="97">
        <v>242.4</v>
      </c>
      <c r="AA10" s="97"/>
      <c r="AB10" s="97">
        <v>1950.6</v>
      </c>
      <c r="AC10" s="97">
        <v>228.3</v>
      </c>
      <c r="AD10" s="97"/>
      <c r="AE10" s="97">
        <v>2639.9</v>
      </c>
      <c r="AF10" s="97">
        <v>320.2</v>
      </c>
      <c r="AG10" s="97"/>
      <c r="AH10" s="97">
        <v>2945</v>
      </c>
      <c r="AI10" s="97">
        <v>525.1</v>
      </c>
      <c r="AJ10" s="95"/>
      <c r="AK10" s="97">
        <v>3208.5</v>
      </c>
      <c r="AL10" s="97">
        <v>424</v>
      </c>
      <c r="AM10" s="98"/>
      <c r="AN10" s="95">
        <v>3735.4</v>
      </c>
      <c r="AO10" s="95">
        <v>457.6</v>
      </c>
      <c r="AP10" s="98"/>
      <c r="AQ10" s="95">
        <v>4297.5</v>
      </c>
      <c r="AR10" s="95">
        <v>486.6</v>
      </c>
      <c r="AS10" s="98"/>
      <c r="AT10" s="95">
        <v>3587.7</v>
      </c>
      <c r="AU10" s="95">
        <v>425.5</v>
      </c>
      <c r="AV10" s="98"/>
      <c r="AW10" s="95">
        <v>4000.8</v>
      </c>
      <c r="AX10" s="95">
        <v>497.3</v>
      </c>
      <c r="AY10" s="95"/>
      <c r="AZ10" s="95">
        <v>3730.4</v>
      </c>
      <c r="BA10" s="95">
        <v>586.70000000000005</v>
      </c>
      <c r="BB10" s="95"/>
      <c r="BC10" s="95">
        <v>3504.6</v>
      </c>
      <c r="BD10" s="95">
        <v>496.6</v>
      </c>
      <c r="BE10" s="95"/>
      <c r="BF10" s="95">
        <v>3038.7</v>
      </c>
      <c r="BG10" s="95">
        <v>494</v>
      </c>
      <c r="BH10" s="99"/>
      <c r="BI10" s="100">
        <v>3502.3</v>
      </c>
      <c r="BJ10" s="95">
        <v>861</v>
      </c>
      <c r="BK10" s="95"/>
      <c r="BL10" s="95">
        <v>3485.9</v>
      </c>
      <c r="BM10" s="95">
        <v>1081.5</v>
      </c>
      <c r="BN10" s="95"/>
      <c r="BO10" s="95">
        <v>4295.1000000000004</v>
      </c>
      <c r="BP10" s="95">
        <v>877.7</v>
      </c>
      <c r="BQ10" s="101"/>
      <c r="BR10" s="95">
        <v>4435.8999999999996</v>
      </c>
      <c r="BS10" s="95">
        <v>814.4</v>
      </c>
      <c r="BT10" s="101"/>
      <c r="BU10" s="95">
        <v>4658.3</v>
      </c>
      <c r="BV10" s="95">
        <v>923.3</v>
      </c>
      <c r="BW10" s="95"/>
      <c r="BX10" s="95">
        <v>4813.6000000000004</v>
      </c>
      <c r="BY10" s="95">
        <v>1089.7</v>
      </c>
      <c r="BZ10" s="95"/>
      <c r="CA10" s="95">
        <v>4402.9979999999996</v>
      </c>
      <c r="CB10" s="95">
        <v>866.65300000000002</v>
      </c>
      <c r="CC10" s="95"/>
      <c r="CD10" s="174">
        <v>5667.7</v>
      </c>
      <c r="CE10" s="174">
        <v>859.7</v>
      </c>
      <c r="CF10" s="174"/>
      <c r="CG10" s="174">
        <v>6980.09</v>
      </c>
      <c r="CH10" s="174">
        <v>900.96799999999996</v>
      </c>
      <c r="CI10" s="174"/>
      <c r="CJ10" s="174">
        <v>7199.6880000000001</v>
      </c>
      <c r="CK10" s="174">
        <v>876.40599999999995</v>
      </c>
    </row>
    <row r="11" spans="2:105" s="102" customFormat="1" ht="21" customHeight="1">
      <c r="B11" s="93"/>
      <c r="C11" s="103" t="s">
        <v>51</v>
      </c>
      <c r="D11" s="104">
        <v>17.100000000000001</v>
      </c>
      <c r="E11" s="105">
        <v>11.2</v>
      </c>
      <c r="F11" s="105"/>
      <c r="G11" s="105">
        <v>16.899999999999999</v>
      </c>
      <c r="H11" s="105">
        <v>5.4</v>
      </c>
      <c r="I11" s="105"/>
      <c r="J11" s="105">
        <v>16.8</v>
      </c>
      <c r="K11" s="105">
        <v>4.4000000000000004</v>
      </c>
      <c r="L11" s="105"/>
      <c r="M11" s="105">
        <v>28.2</v>
      </c>
      <c r="N11" s="105">
        <v>5</v>
      </c>
      <c r="O11" s="105"/>
      <c r="P11" s="105">
        <v>25.8</v>
      </c>
      <c r="Q11" s="105">
        <v>4.5</v>
      </c>
      <c r="R11" s="105"/>
      <c r="S11" s="105">
        <v>29.8</v>
      </c>
      <c r="T11" s="105">
        <v>3.1</v>
      </c>
      <c r="U11" s="105"/>
      <c r="V11" s="105">
        <v>28.1</v>
      </c>
      <c r="W11" s="105">
        <v>4.2</v>
      </c>
      <c r="X11" s="105"/>
      <c r="Y11" s="105">
        <v>27</v>
      </c>
      <c r="Z11" s="105">
        <v>4.9000000000000004</v>
      </c>
      <c r="AA11" s="105"/>
      <c r="AB11" s="105">
        <v>24.7</v>
      </c>
      <c r="AC11" s="105">
        <v>5.0999999999999996</v>
      </c>
      <c r="AD11" s="105"/>
      <c r="AE11" s="105">
        <v>28.1</v>
      </c>
      <c r="AF11" s="105">
        <v>9.6999999999999993</v>
      </c>
      <c r="AG11" s="105"/>
      <c r="AH11" s="105">
        <v>26.9</v>
      </c>
      <c r="AI11" s="105">
        <v>5.3</v>
      </c>
      <c r="AJ11" s="106"/>
      <c r="AK11" s="105">
        <v>34.200000000000003</v>
      </c>
      <c r="AL11" s="105">
        <v>4.9000000000000004</v>
      </c>
      <c r="AM11" s="87"/>
      <c r="AN11" s="106">
        <v>38.799999999999997</v>
      </c>
      <c r="AO11" s="106">
        <v>4.8</v>
      </c>
      <c r="AP11" s="87"/>
      <c r="AQ11" s="106">
        <v>40.6</v>
      </c>
      <c r="AR11" s="106">
        <v>5.3</v>
      </c>
      <c r="AS11" s="87"/>
      <c r="AT11" s="106">
        <v>33.299999999999997</v>
      </c>
      <c r="AU11" s="106">
        <v>6.3</v>
      </c>
      <c r="AV11" s="87"/>
      <c r="AW11" s="106">
        <v>29.4</v>
      </c>
      <c r="AX11" s="106">
        <v>8.1999999999999993</v>
      </c>
      <c r="AY11" s="106"/>
      <c r="AZ11" s="106">
        <v>40.299999999999997</v>
      </c>
      <c r="BA11" s="106">
        <v>6.9</v>
      </c>
      <c r="BB11" s="106"/>
      <c r="BC11" s="106">
        <v>45.4</v>
      </c>
      <c r="BD11" s="106">
        <v>7.6</v>
      </c>
      <c r="BE11" s="106"/>
      <c r="BF11" s="106">
        <v>34.4</v>
      </c>
      <c r="BG11" s="106">
        <v>8.3000000000000007</v>
      </c>
      <c r="BH11" s="107"/>
      <c r="BI11" s="108">
        <v>38.1</v>
      </c>
      <c r="BJ11" s="106">
        <v>9.4</v>
      </c>
      <c r="BK11" s="106"/>
      <c r="BL11" s="106">
        <v>37.6</v>
      </c>
      <c r="BM11" s="106">
        <v>11.3</v>
      </c>
      <c r="BN11" s="106"/>
      <c r="BO11" s="106">
        <v>54.5</v>
      </c>
      <c r="BP11" s="106">
        <v>15.2</v>
      </c>
      <c r="BQ11" s="109"/>
      <c r="BR11" s="106">
        <v>42.2</v>
      </c>
      <c r="BS11" s="106">
        <v>13.2</v>
      </c>
      <c r="BT11" s="109"/>
      <c r="BU11" s="106">
        <v>45.1</v>
      </c>
      <c r="BV11" s="106">
        <v>18.7</v>
      </c>
      <c r="BW11" s="106"/>
      <c r="BX11" s="106">
        <v>47.7</v>
      </c>
      <c r="BY11" s="106">
        <v>15.8</v>
      </c>
      <c r="BZ11" s="106"/>
      <c r="CA11" s="106">
        <v>49.856999999999999</v>
      </c>
      <c r="CB11" s="106">
        <v>16.655999999999999</v>
      </c>
      <c r="CC11" s="106"/>
      <c r="CD11" s="156">
        <v>54.5</v>
      </c>
      <c r="CE11" s="156">
        <v>18.779</v>
      </c>
      <c r="CF11" s="156"/>
      <c r="CG11" s="156">
        <v>75.201999999999998</v>
      </c>
      <c r="CH11" s="156">
        <v>14.401</v>
      </c>
      <c r="CI11" s="156"/>
      <c r="CJ11" s="156">
        <v>66.567999999999998</v>
      </c>
      <c r="CK11" s="156">
        <v>14.882999999999999</v>
      </c>
    </row>
    <row r="12" spans="2:105" s="102" customFormat="1" ht="21" customHeight="1">
      <c r="B12" s="93"/>
      <c r="C12" s="103" t="s">
        <v>50</v>
      </c>
      <c r="D12" s="104">
        <v>53.2</v>
      </c>
      <c r="E12" s="105">
        <v>17.8</v>
      </c>
      <c r="F12" s="105"/>
      <c r="G12" s="105">
        <v>47.6</v>
      </c>
      <c r="H12" s="105">
        <v>14</v>
      </c>
      <c r="I12" s="105"/>
      <c r="J12" s="105">
        <v>59</v>
      </c>
      <c r="K12" s="105">
        <v>12.8</v>
      </c>
      <c r="L12" s="105"/>
      <c r="M12" s="105">
        <v>53.9</v>
      </c>
      <c r="N12" s="105">
        <v>15.3</v>
      </c>
      <c r="O12" s="105"/>
      <c r="P12" s="105">
        <v>51.5</v>
      </c>
      <c r="Q12" s="105">
        <v>11</v>
      </c>
      <c r="R12" s="105"/>
      <c r="S12" s="105">
        <v>59.8</v>
      </c>
      <c r="T12" s="105">
        <v>8.1999999999999993</v>
      </c>
      <c r="U12" s="105"/>
      <c r="V12" s="105">
        <v>68.2</v>
      </c>
      <c r="W12" s="105">
        <v>10.7</v>
      </c>
      <c r="X12" s="105"/>
      <c r="Y12" s="105">
        <v>64.900000000000006</v>
      </c>
      <c r="Z12" s="105">
        <v>9</v>
      </c>
      <c r="AA12" s="105"/>
      <c r="AB12" s="105">
        <v>62</v>
      </c>
      <c r="AC12" s="105">
        <v>9.1</v>
      </c>
      <c r="AD12" s="105"/>
      <c r="AE12" s="105">
        <v>91.1</v>
      </c>
      <c r="AF12" s="105">
        <v>9.6999999999999993</v>
      </c>
      <c r="AG12" s="105"/>
      <c r="AH12" s="105">
        <v>105.8</v>
      </c>
      <c r="AI12" s="105">
        <v>8.6999999999999993</v>
      </c>
      <c r="AJ12" s="106"/>
      <c r="AK12" s="105">
        <v>119.4</v>
      </c>
      <c r="AL12" s="105">
        <v>14.3</v>
      </c>
      <c r="AM12" s="87"/>
      <c r="AN12" s="106">
        <v>141.5</v>
      </c>
      <c r="AO12" s="106">
        <v>15.7</v>
      </c>
      <c r="AP12" s="87"/>
      <c r="AQ12" s="106">
        <v>156.19999999999999</v>
      </c>
      <c r="AR12" s="106">
        <v>14.2</v>
      </c>
      <c r="AS12" s="87"/>
      <c r="AT12" s="106">
        <v>182.9</v>
      </c>
      <c r="AU12" s="106">
        <v>10.199999999999999</v>
      </c>
      <c r="AV12" s="87"/>
      <c r="AW12" s="106">
        <v>133.80000000000001</v>
      </c>
      <c r="AX12" s="106">
        <v>8.1</v>
      </c>
      <c r="AY12" s="106"/>
      <c r="AZ12" s="106">
        <v>165.3</v>
      </c>
      <c r="BA12" s="106">
        <v>12.1</v>
      </c>
      <c r="BB12" s="106"/>
      <c r="BC12" s="106">
        <v>139.4</v>
      </c>
      <c r="BD12" s="106">
        <v>10</v>
      </c>
      <c r="BE12" s="106"/>
      <c r="BF12" s="106">
        <v>175</v>
      </c>
      <c r="BG12" s="106">
        <v>12.6</v>
      </c>
      <c r="BH12" s="107"/>
      <c r="BI12" s="108">
        <v>197.7</v>
      </c>
      <c r="BJ12" s="106">
        <v>11.1</v>
      </c>
      <c r="BK12" s="106"/>
      <c r="BL12" s="106">
        <v>147.6</v>
      </c>
      <c r="BM12" s="106">
        <v>8.6</v>
      </c>
      <c r="BN12" s="106"/>
      <c r="BO12" s="106">
        <v>209.5</v>
      </c>
      <c r="BP12" s="106">
        <v>11</v>
      </c>
      <c r="BQ12" s="109"/>
      <c r="BR12" s="106">
        <v>203.1</v>
      </c>
      <c r="BS12" s="106">
        <v>65.2</v>
      </c>
      <c r="BT12" s="109"/>
      <c r="BU12" s="106">
        <v>165.7</v>
      </c>
      <c r="BV12" s="106">
        <v>12</v>
      </c>
      <c r="BW12" s="106"/>
      <c r="BX12" s="106">
        <v>223.8</v>
      </c>
      <c r="BY12" s="106">
        <v>11.4</v>
      </c>
      <c r="BZ12" s="106"/>
      <c r="CA12" s="106">
        <v>234.95699999999999</v>
      </c>
      <c r="CB12" s="106">
        <v>12.252000000000001</v>
      </c>
      <c r="CC12" s="106"/>
      <c r="CD12" s="156">
        <v>262.39999999999998</v>
      </c>
      <c r="CE12" s="156">
        <v>11.169</v>
      </c>
      <c r="CF12" s="156"/>
      <c r="CG12" s="156">
        <v>241.24199999999999</v>
      </c>
      <c r="CH12" s="156">
        <v>34.893000000000001</v>
      </c>
      <c r="CI12" s="156"/>
      <c r="CJ12" s="156">
        <v>278.31299999999999</v>
      </c>
      <c r="CK12" s="156">
        <v>16.375</v>
      </c>
    </row>
    <row r="13" spans="2:105" s="102" customFormat="1" ht="21" customHeight="1">
      <c r="B13" s="93"/>
      <c r="C13" s="103" t="s">
        <v>46</v>
      </c>
      <c r="D13" s="104">
        <v>7.4</v>
      </c>
      <c r="E13" s="105">
        <v>86.7</v>
      </c>
      <c r="F13" s="105"/>
      <c r="G13" s="105">
        <v>7.4</v>
      </c>
      <c r="H13" s="105">
        <v>167</v>
      </c>
      <c r="I13" s="105"/>
      <c r="J13" s="105">
        <v>7.9</v>
      </c>
      <c r="K13" s="105">
        <v>86.1</v>
      </c>
      <c r="L13" s="105"/>
      <c r="M13" s="105">
        <v>8</v>
      </c>
      <c r="N13" s="105">
        <v>42.2</v>
      </c>
      <c r="O13" s="105"/>
      <c r="P13" s="105">
        <v>11.8</v>
      </c>
      <c r="Q13" s="105">
        <v>24.8</v>
      </c>
      <c r="R13" s="105"/>
      <c r="S13" s="105">
        <v>10</v>
      </c>
      <c r="T13" s="105">
        <v>5.5</v>
      </c>
      <c r="U13" s="105"/>
      <c r="V13" s="105">
        <v>16.2</v>
      </c>
      <c r="W13" s="105">
        <v>5.5</v>
      </c>
      <c r="X13" s="105"/>
      <c r="Y13" s="105">
        <v>13.4</v>
      </c>
      <c r="Z13" s="105">
        <v>10.4</v>
      </c>
      <c r="AA13" s="105"/>
      <c r="AB13" s="105">
        <v>15</v>
      </c>
      <c r="AC13" s="105">
        <v>4</v>
      </c>
      <c r="AD13" s="105"/>
      <c r="AE13" s="105">
        <v>17.5</v>
      </c>
      <c r="AF13" s="105">
        <v>9.1</v>
      </c>
      <c r="AG13" s="105"/>
      <c r="AH13" s="105">
        <v>34.1</v>
      </c>
      <c r="AI13" s="105">
        <v>6.6</v>
      </c>
      <c r="AJ13" s="106"/>
      <c r="AK13" s="105">
        <v>60.3</v>
      </c>
      <c r="AL13" s="105">
        <v>4</v>
      </c>
      <c r="AM13" s="87"/>
      <c r="AN13" s="106">
        <v>45</v>
      </c>
      <c r="AO13" s="106">
        <v>5.5</v>
      </c>
      <c r="AP13" s="87"/>
      <c r="AQ13" s="106">
        <v>81.8</v>
      </c>
      <c r="AR13" s="106">
        <v>12.2</v>
      </c>
      <c r="AS13" s="87"/>
      <c r="AT13" s="106">
        <v>47.3</v>
      </c>
      <c r="AU13" s="106">
        <v>8</v>
      </c>
      <c r="AV13" s="87"/>
      <c r="AW13" s="106">
        <v>31.8</v>
      </c>
      <c r="AX13" s="106">
        <v>8.3000000000000007</v>
      </c>
      <c r="AY13" s="106"/>
      <c r="AZ13" s="106">
        <v>40.4</v>
      </c>
      <c r="BA13" s="106">
        <v>9.3000000000000007</v>
      </c>
      <c r="BB13" s="106"/>
      <c r="BC13" s="106">
        <v>47.9</v>
      </c>
      <c r="BD13" s="106">
        <v>10.3</v>
      </c>
      <c r="BE13" s="106"/>
      <c r="BF13" s="106">
        <v>42.8</v>
      </c>
      <c r="BG13" s="106">
        <v>8.4</v>
      </c>
      <c r="BH13" s="107"/>
      <c r="BI13" s="108">
        <v>46.2</v>
      </c>
      <c r="BJ13" s="106">
        <v>7.8</v>
      </c>
      <c r="BK13" s="106"/>
      <c r="BL13" s="106">
        <v>89.3</v>
      </c>
      <c r="BM13" s="106">
        <v>10.6</v>
      </c>
      <c r="BN13" s="106"/>
      <c r="BO13" s="106">
        <v>54.7</v>
      </c>
      <c r="BP13" s="106">
        <v>9.6</v>
      </c>
      <c r="BQ13" s="109"/>
      <c r="BR13" s="106">
        <v>62.4</v>
      </c>
      <c r="BS13" s="106">
        <v>13.5</v>
      </c>
      <c r="BT13" s="109"/>
      <c r="BU13" s="106">
        <v>103.6</v>
      </c>
      <c r="BV13" s="106">
        <v>26</v>
      </c>
      <c r="BW13" s="106"/>
      <c r="BX13" s="106">
        <v>87.9</v>
      </c>
      <c r="BY13" s="106">
        <v>18.3</v>
      </c>
      <c r="BZ13" s="106"/>
      <c r="CA13" s="106">
        <v>78.210999999999999</v>
      </c>
      <c r="CB13" s="106">
        <v>20.658999999999999</v>
      </c>
      <c r="CC13" s="106"/>
      <c r="CD13" s="156">
        <v>107.4</v>
      </c>
      <c r="CE13" s="156">
        <v>23.518999999999998</v>
      </c>
      <c r="CF13" s="156"/>
      <c r="CG13" s="156">
        <v>166.31200000000001</v>
      </c>
      <c r="CH13" s="156">
        <v>27.154</v>
      </c>
      <c r="CI13" s="156"/>
      <c r="CJ13" s="156">
        <v>114.045</v>
      </c>
      <c r="CK13" s="156">
        <v>20.247</v>
      </c>
    </row>
    <row r="14" spans="2:105" s="102" customFormat="1" ht="21" customHeight="1">
      <c r="B14" s="93"/>
      <c r="C14" s="103" t="s">
        <v>60</v>
      </c>
      <c r="D14" s="104">
        <v>9.9</v>
      </c>
      <c r="E14" s="105">
        <v>2.6</v>
      </c>
      <c r="F14" s="105"/>
      <c r="G14" s="105">
        <v>6.5</v>
      </c>
      <c r="H14" s="105">
        <v>3</v>
      </c>
      <c r="I14" s="105"/>
      <c r="J14" s="105">
        <v>6.9</v>
      </c>
      <c r="K14" s="105">
        <v>2</v>
      </c>
      <c r="L14" s="105"/>
      <c r="M14" s="105">
        <v>7.9</v>
      </c>
      <c r="N14" s="105">
        <v>1.8</v>
      </c>
      <c r="O14" s="105"/>
      <c r="P14" s="105">
        <v>7</v>
      </c>
      <c r="Q14" s="105">
        <v>3</v>
      </c>
      <c r="R14" s="105"/>
      <c r="S14" s="105">
        <v>10.1</v>
      </c>
      <c r="T14" s="105">
        <v>4.5</v>
      </c>
      <c r="U14" s="105"/>
      <c r="V14" s="105">
        <v>7.7</v>
      </c>
      <c r="W14" s="105">
        <v>4.7</v>
      </c>
      <c r="X14" s="105"/>
      <c r="Y14" s="105">
        <v>9.9</v>
      </c>
      <c r="Z14" s="105">
        <v>7.2</v>
      </c>
      <c r="AA14" s="105"/>
      <c r="AB14" s="105">
        <v>10.4</v>
      </c>
      <c r="AC14" s="105">
        <v>7.7</v>
      </c>
      <c r="AD14" s="105"/>
      <c r="AE14" s="105">
        <v>9.6</v>
      </c>
      <c r="AF14" s="105">
        <v>7.7</v>
      </c>
      <c r="AG14" s="105"/>
      <c r="AH14" s="105">
        <v>8.9</v>
      </c>
      <c r="AI14" s="105">
        <v>6.7</v>
      </c>
      <c r="AJ14" s="106"/>
      <c r="AK14" s="105">
        <v>12.2</v>
      </c>
      <c r="AL14" s="105">
        <v>4.9000000000000004</v>
      </c>
      <c r="AM14" s="87"/>
      <c r="AN14" s="106">
        <v>20.5</v>
      </c>
      <c r="AO14" s="106">
        <v>7.3</v>
      </c>
      <c r="AP14" s="87"/>
      <c r="AQ14" s="106">
        <v>18.399999999999999</v>
      </c>
      <c r="AR14" s="106">
        <v>10.9</v>
      </c>
      <c r="AS14" s="87"/>
      <c r="AT14" s="106">
        <v>11.5</v>
      </c>
      <c r="AU14" s="106">
        <v>8.1</v>
      </c>
      <c r="AV14" s="87"/>
      <c r="AW14" s="106">
        <v>22.3</v>
      </c>
      <c r="AX14" s="106">
        <v>9.6</v>
      </c>
      <c r="AY14" s="106"/>
      <c r="AZ14" s="106">
        <v>27.3</v>
      </c>
      <c r="BA14" s="106">
        <v>10.1</v>
      </c>
      <c r="BB14" s="106"/>
      <c r="BC14" s="106">
        <v>21.2</v>
      </c>
      <c r="BD14" s="106">
        <v>6.9</v>
      </c>
      <c r="BE14" s="106"/>
      <c r="BF14" s="106">
        <v>15.4</v>
      </c>
      <c r="BG14" s="106">
        <v>13.8</v>
      </c>
      <c r="BH14" s="107"/>
      <c r="BI14" s="108">
        <v>17.899999999999999</v>
      </c>
      <c r="BJ14" s="106">
        <v>14.6</v>
      </c>
      <c r="BK14" s="106"/>
      <c r="BL14" s="106">
        <v>21.2</v>
      </c>
      <c r="BM14" s="106">
        <v>20.399999999999999</v>
      </c>
      <c r="BN14" s="106"/>
      <c r="BO14" s="106">
        <v>31.4</v>
      </c>
      <c r="BP14" s="106">
        <v>38.799999999999997</v>
      </c>
      <c r="BQ14" s="109"/>
      <c r="BR14" s="106">
        <v>39.1</v>
      </c>
      <c r="BS14" s="106">
        <v>25.5</v>
      </c>
      <c r="BT14" s="109"/>
      <c r="BU14" s="106">
        <v>48.6</v>
      </c>
      <c r="BV14" s="106">
        <v>25.6</v>
      </c>
      <c r="BW14" s="106"/>
      <c r="BX14" s="106">
        <v>48.8</v>
      </c>
      <c r="BY14" s="106">
        <v>18.7</v>
      </c>
      <c r="BZ14" s="106"/>
      <c r="CA14" s="106">
        <v>37.567999999999998</v>
      </c>
      <c r="CB14" s="106">
        <v>25.584</v>
      </c>
      <c r="CC14" s="106"/>
      <c r="CD14" s="156">
        <v>45.3</v>
      </c>
      <c r="CE14" s="156">
        <v>25.114999999999998</v>
      </c>
      <c r="CF14" s="156"/>
      <c r="CG14" s="156">
        <v>51.296999999999997</v>
      </c>
      <c r="CH14" s="156">
        <v>31.097000000000001</v>
      </c>
      <c r="CI14" s="156"/>
      <c r="CJ14" s="156">
        <v>78.528999999999996</v>
      </c>
      <c r="CK14" s="156">
        <v>31.74</v>
      </c>
    </row>
    <row r="15" spans="2:105" s="102" customFormat="1" ht="21" customHeight="1">
      <c r="B15" s="93"/>
      <c r="C15" s="103" t="s">
        <v>47</v>
      </c>
      <c r="D15" s="104">
        <v>24.6</v>
      </c>
      <c r="E15" s="105">
        <v>4.9000000000000004</v>
      </c>
      <c r="F15" s="105"/>
      <c r="G15" s="105">
        <v>23.8</v>
      </c>
      <c r="H15" s="105">
        <v>2.9</v>
      </c>
      <c r="I15" s="105"/>
      <c r="J15" s="105">
        <v>24.8</v>
      </c>
      <c r="K15" s="105">
        <v>5.2</v>
      </c>
      <c r="L15" s="105"/>
      <c r="M15" s="105">
        <v>25.7</v>
      </c>
      <c r="N15" s="105">
        <v>7.1</v>
      </c>
      <c r="O15" s="105"/>
      <c r="P15" s="105">
        <v>29.9</v>
      </c>
      <c r="Q15" s="105">
        <v>6.7</v>
      </c>
      <c r="R15" s="105"/>
      <c r="S15" s="105">
        <v>31.2</v>
      </c>
      <c r="T15" s="105">
        <v>6.1</v>
      </c>
      <c r="U15" s="105"/>
      <c r="V15" s="105">
        <v>33.200000000000003</v>
      </c>
      <c r="W15" s="105">
        <v>4.5</v>
      </c>
      <c r="X15" s="105"/>
      <c r="Y15" s="105">
        <v>32.4</v>
      </c>
      <c r="Z15" s="105">
        <v>4.4000000000000004</v>
      </c>
      <c r="AA15" s="105"/>
      <c r="AB15" s="105">
        <v>33.1</v>
      </c>
      <c r="AC15" s="105">
        <v>5.3</v>
      </c>
      <c r="AD15" s="105"/>
      <c r="AE15" s="105">
        <v>31.9</v>
      </c>
      <c r="AF15" s="105">
        <v>9</v>
      </c>
      <c r="AG15" s="105"/>
      <c r="AH15" s="105">
        <v>27.4</v>
      </c>
      <c r="AI15" s="105">
        <v>3</v>
      </c>
      <c r="AJ15" s="106"/>
      <c r="AK15" s="105">
        <v>27.7</v>
      </c>
      <c r="AL15" s="105">
        <v>3</v>
      </c>
      <c r="AM15" s="87"/>
      <c r="AN15" s="106">
        <v>40.4</v>
      </c>
      <c r="AO15" s="106">
        <v>4.2</v>
      </c>
      <c r="AP15" s="87"/>
      <c r="AQ15" s="106">
        <v>35</v>
      </c>
      <c r="AR15" s="106">
        <v>4.7</v>
      </c>
      <c r="AS15" s="87"/>
      <c r="AT15" s="106">
        <v>49.1</v>
      </c>
      <c r="AU15" s="106">
        <v>4</v>
      </c>
      <c r="AV15" s="87"/>
      <c r="AW15" s="106">
        <v>27.4</v>
      </c>
      <c r="AX15" s="106">
        <v>4.7</v>
      </c>
      <c r="AY15" s="106"/>
      <c r="AZ15" s="106">
        <v>35.6</v>
      </c>
      <c r="BA15" s="106">
        <v>4.9000000000000004</v>
      </c>
      <c r="BB15" s="106"/>
      <c r="BC15" s="106">
        <v>28.5</v>
      </c>
      <c r="BD15" s="106">
        <v>3.4</v>
      </c>
      <c r="BE15" s="106"/>
      <c r="BF15" s="106">
        <v>23.9</v>
      </c>
      <c r="BG15" s="106">
        <v>4.0999999999999996</v>
      </c>
      <c r="BH15" s="107"/>
      <c r="BI15" s="108">
        <v>22.8</v>
      </c>
      <c r="BJ15" s="106">
        <v>6.7</v>
      </c>
      <c r="BK15" s="106"/>
      <c r="BL15" s="106">
        <v>44.6</v>
      </c>
      <c r="BM15" s="106">
        <v>67.3</v>
      </c>
      <c r="BN15" s="106"/>
      <c r="BO15" s="106">
        <v>31.4</v>
      </c>
      <c r="BP15" s="106">
        <v>45.4</v>
      </c>
      <c r="BQ15" s="109"/>
      <c r="BR15" s="106">
        <v>59.2</v>
      </c>
      <c r="BS15" s="106">
        <v>10.3</v>
      </c>
      <c r="BT15" s="109"/>
      <c r="BU15" s="106">
        <v>63.9</v>
      </c>
      <c r="BV15" s="106">
        <v>15.4</v>
      </c>
      <c r="BW15" s="106"/>
      <c r="BX15" s="106">
        <v>79.599999999999994</v>
      </c>
      <c r="BY15" s="106">
        <v>48.5</v>
      </c>
      <c r="BZ15" s="106"/>
      <c r="CA15" s="106">
        <v>85.734999999999999</v>
      </c>
      <c r="CB15" s="106">
        <v>16.524000000000001</v>
      </c>
      <c r="CC15" s="106"/>
      <c r="CD15" s="156">
        <v>40</v>
      </c>
      <c r="CE15" s="156">
        <v>15.8</v>
      </c>
      <c r="CF15" s="156"/>
      <c r="CG15" s="156">
        <v>46.584000000000003</v>
      </c>
      <c r="CH15" s="156">
        <v>13.172000000000001</v>
      </c>
      <c r="CI15" s="156"/>
      <c r="CJ15" s="156">
        <v>50.698</v>
      </c>
      <c r="CK15" s="156">
        <v>36.082999999999998</v>
      </c>
    </row>
    <row r="16" spans="2:105" ht="21" customHeight="1">
      <c r="B16" s="110"/>
      <c r="C16" s="103" t="s">
        <v>5</v>
      </c>
      <c r="D16" s="104">
        <f>117336/1000</f>
        <v>117.336</v>
      </c>
      <c r="E16" s="105">
        <v>13.426</v>
      </c>
      <c r="F16" s="105"/>
      <c r="G16" s="105">
        <f>124890/1000</f>
        <v>124.89</v>
      </c>
      <c r="H16" s="105">
        <v>14.686</v>
      </c>
      <c r="I16" s="105"/>
      <c r="J16" s="105">
        <f>136568/1000</f>
        <v>136.56800000000001</v>
      </c>
      <c r="K16" s="105">
        <v>11.581</v>
      </c>
      <c r="L16" s="105"/>
      <c r="M16" s="105">
        <v>162.19300000000001</v>
      </c>
      <c r="N16" s="105">
        <v>11.292</v>
      </c>
      <c r="O16" s="105"/>
      <c r="P16" s="105">
        <f>177505/1000</f>
        <v>177.505</v>
      </c>
      <c r="Q16" s="105">
        <v>10.619</v>
      </c>
      <c r="R16" s="105"/>
      <c r="S16" s="105">
        <f>183162/1000</f>
        <v>183.16200000000001</v>
      </c>
      <c r="T16" s="105">
        <v>8.6660000000000004</v>
      </c>
      <c r="U16" s="105"/>
      <c r="V16" s="105">
        <f>217424/1000</f>
        <v>217.42400000000001</v>
      </c>
      <c r="W16" s="105">
        <v>10.561999999999999</v>
      </c>
      <c r="X16" s="105"/>
      <c r="Y16" s="105">
        <f>216824/1000</f>
        <v>216.82400000000001</v>
      </c>
      <c r="Z16" s="105">
        <v>11.943</v>
      </c>
      <c r="AA16" s="105"/>
      <c r="AB16" s="105">
        <f>201968/1000</f>
        <v>201.96799999999999</v>
      </c>
      <c r="AC16" s="105">
        <v>9.5619999999999994</v>
      </c>
      <c r="AD16" s="105"/>
      <c r="AE16" s="105">
        <f>287259/1000</f>
        <v>287.25900000000001</v>
      </c>
      <c r="AF16" s="105">
        <v>23.155999999999999</v>
      </c>
      <c r="AG16" s="105"/>
      <c r="AH16" s="105">
        <v>184.10900000000001</v>
      </c>
      <c r="AI16" s="105">
        <v>208.28800000000001</v>
      </c>
      <c r="AJ16" s="106"/>
      <c r="AK16" s="105">
        <v>233.30600000000001</v>
      </c>
      <c r="AL16" s="105">
        <v>81.97</v>
      </c>
      <c r="AM16" s="87"/>
      <c r="AN16" s="106">
        <v>337.35300000000001</v>
      </c>
      <c r="AO16" s="106">
        <v>8.5779999999999994</v>
      </c>
      <c r="AP16" s="87"/>
      <c r="AQ16" s="106">
        <v>294.60399999999998</v>
      </c>
      <c r="AR16" s="106">
        <v>11.314</v>
      </c>
      <c r="AS16" s="87"/>
      <c r="AT16" s="106">
        <v>224.30699999999999</v>
      </c>
      <c r="AU16" s="106">
        <v>8.3550000000000004</v>
      </c>
      <c r="AV16" s="87"/>
      <c r="AW16" s="106">
        <v>328.12400000000002</v>
      </c>
      <c r="AX16" s="106">
        <v>13.032999999999999</v>
      </c>
      <c r="AY16" s="106"/>
      <c r="AZ16" s="106">
        <v>348.89699999999999</v>
      </c>
      <c r="BA16" s="106">
        <v>12.084</v>
      </c>
      <c r="BB16" s="106"/>
      <c r="BC16" s="106">
        <v>338.6</v>
      </c>
      <c r="BD16" s="106">
        <v>10.5</v>
      </c>
      <c r="BE16" s="106"/>
      <c r="BF16" s="106">
        <v>301.89999999999998</v>
      </c>
      <c r="BG16" s="106">
        <v>11.7</v>
      </c>
      <c r="BH16" s="107"/>
      <c r="BI16" s="108">
        <v>297.2</v>
      </c>
      <c r="BJ16" s="106">
        <v>10.3</v>
      </c>
      <c r="BK16" s="106"/>
      <c r="BL16" s="106">
        <v>188.5</v>
      </c>
      <c r="BM16" s="106">
        <v>13.6</v>
      </c>
      <c r="BN16" s="106"/>
      <c r="BO16" s="106">
        <v>284.2</v>
      </c>
      <c r="BP16" s="106">
        <v>25</v>
      </c>
      <c r="BQ16" s="109"/>
      <c r="BR16" s="106">
        <v>305.7</v>
      </c>
      <c r="BS16" s="106">
        <v>17.7</v>
      </c>
      <c r="BT16" s="109"/>
      <c r="BU16" s="106">
        <v>189</v>
      </c>
      <c r="BV16" s="106">
        <v>35.700000000000003</v>
      </c>
      <c r="BW16" s="106"/>
      <c r="BX16" s="106">
        <v>259.89999999999998</v>
      </c>
      <c r="BY16" s="106">
        <v>41.2</v>
      </c>
      <c r="BZ16" s="106"/>
      <c r="CA16" s="106">
        <v>151.04599999999999</v>
      </c>
      <c r="CB16" s="106">
        <v>115.166</v>
      </c>
      <c r="CC16" s="106"/>
      <c r="CD16" s="156">
        <v>155.9</v>
      </c>
      <c r="CE16" s="156">
        <v>43.1</v>
      </c>
      <c r="CF16" s="156"/>
      <c r="CG16" s="156">
        <v>202.55500000000001</v>
      </c>
      <c r="CH16" s="156">
        <v>64.825000000000003</v>
      </c>
      <c r="CI16" s="156"/>
      <c r="CJ16" s="156">
        <v>246.41200000000001</v>
      </c>
      <c r="CK16" s="156">
        <v>58.002000000000002</v>
      </c>
    </row>
    <row r="17" spans="2:105" ht="21" customHeight="1">
      <c r="B17" s="110"/>
      <c r="C17" s="103" t="s">
        <v>6</v>
      </c>
      <c r="D17" s="104">
        <f>232821/1000</f>
        <v>232.821</v>
      </c>
      <c r="E17" s="105">
        <v>50.48</v>
      </c>
      <c r="F17" s="105"/>
      <c r="G17" s="105">
        <f>223853/1000</f>
        <v>223.85300000000001</v>
      </c>
      <c r="H17" s="105">
        <v>48.616</v>
      </c>
      <c r="I17" s="105"/>
      <c r="J17" s="105">
        <f>193688/1000</f>
        <v>193.68799999999999</v>
      </c>
      <c r="K17" s="105">
        <v>35.023000000000003</v>
      </c>
      <c r="L17" s="105"/>
      <c r="M17" s="105">
        <v>275.41000000000003</v>
      </c>
      <c r="N17" s="105">
        <v>41.168999999999997</v>
      </c>
      <c r="O17" s="105"/>
      <c r="P17" s="105">
        <f>231045/1000</f>
        <v>231.04499999999999</v>
      </c>
      <c r="Q17" s="105">
        <v>39.009</v>
      </c>
      <c r="R17" s="105"/>
      <c r="S17" s="105">
        <f>287134/1000</f>
        <v>287.13400000000001</v>
      </c>
      <c r="T17" s="105">
        <v>31.041</v>
      </c>
      <c r="U17" s="105"/>
      <c r="V17" s="105">
        <f>295058/1000</f>
        <v>295.05799999999999</v>
      </c>
      <c r="W17" s="105">
        <v>31.353000000000002</v>
      </c>
      <c r="X17" s="105"/>
      <c r="Y17" s="105">
        <f>373886/1000</f>
        <v>373.88600000000002</v>
      </c>
      <c r="Z17" s="105">
        <v>26.983000000000001</v>
      </c>
      <c r="AA17" s="105"/>
      <c r="AB17" s="105">
        <f>296198/1000</f>
        <v>296.19799999999998</v>
      </c>
      <c r="AC17" s="105">
        <v>31.93</v>
      </c>
      <c r="AD17" s="105"/>
      <c r="AE17" s="105">
        <f>409593/1000</f>
        <v>409.59300000000002</v>
      </c>
      <c r="AF17" s="105">
        <v>46.661999999999999</v>
      </c>
      <c r="AG17" s="105"/>
      <c r="AH17" s="105">
        <v>419.33499999999998</v>
      </c>
      <c r="AI17" s="105">
        <v>65.052000000000007</v>
      </c>
      <c r="AJ17" s="106"/>
      <c r="AK17" s="105">
        <v>488.46699999999998</v>
      </c>
      <c r="AL17" s="105">
        <v>50.683999999999997</v>
      </c>
      <c r="AM17" s="87"/>
      <c r="AN17" s="106">
        <v>588.78700000000003</v>
      </c>
      <c r="AO17" s="106">
        <v>66.581000000000003</v>
      </c>
      <c r="AP17" s="87"/>
      <c r="AQ17" s="106">
        <v>605.16700000000003</v>
      </c>
      <c r="AR17" s="106">
        <v>67.108000000000004</v>
      </c>
      <c r="AS17" s="87"/>
      <c r="AT17" s="106">
        <v>490.71199999999999</v>
      </c>
      <c r="AU17" s="106">
        <v>81.864000000000004</v>
      </c>
      <c r="AV17" s="87"/>
      <c r="AW17" s="106">
        <v>583.53800000000001</v>
      </c>
      <c r="AX17" s="106">
        <v>105.696</v>
      </c>
      <c r="AY17" s="106"/>
      <c r="AZ17" s="106">
        <v>506.79199999999997</v>
      </c>
      <c r="BA17" s="106">
        <v>67.239000000000004</v>
      </c>
      <c r="BB17" s="106"/>
      <c r="BC17" s="106">
        <v>400.7</v>
      </c>
      <c r="BD17" s="106">
        <v>32.5</v>
      </c>
      <c r="BE17" s="106"/>
      <c r="BF17" s="106">
        <v>315.39999999999998</v>
      </c>
      <c r="BG17" s="106">
        <v>41.4</v>
      </c>
      <c r="BH17" s="107"/>
      <c r="BI17" s="108">
        <v>455</v>
      </c>
      <c r="BJ17" s="106">
        <v>54.4</v>
      </c>
      <c r="BK17" s="106"/>
      <c r="BL17" s="106">
        <v>438.4</v>
      </c>
      <c r="BM17" s="106">
        <v>80.599999999999994</v>
      </c>
      <c r="BN17" s="106"/>
      <c r="BO17" s="106">
        <v>1184.2</v>
      </c>
      <c r="BP17" s="106">
        <v>42.2</v>
      </c>
      <c r="BQ17" s="109"/>
      <c r="BR17" s="106">
        <v>568.79999999999995</v>
      </c>
      <c r="BS17" s="106">
        <v>121.4</v>
      </c>
      <c r="BT17" s="109"/>
      <c r="BU17" s="106">
        <v>499.6</v>
      </c>
      <c r="BV17" s="106">
        <v>129.4</v>
      </c>
      <c r="BW17" s="106"/>
      <c r="BX17" s="106">
        <v>490.4</v>
      </c>
      <c r="BY17" s="106">
        <v>64.7</v>
      </c>
      <c r="BZ17" s="106"/>
      <c r="CA17" s="106">
        <v>501.36799999999999</v>
      </c>
      <c r="CB17" s="106">
        <v>62.902999999999999</v>
      </c>
      <c r="CC17" s="106"/>
      <c r="CD17" s="156">
        <v>543.29999999999995</v>
      </c>
      <c r="CE17" s="156">
        <v>102.8</v>
      </c>
      <c r="CF17" s="156"/>
      <c r="CG17" s="156">
        <v>621.11</v>
      </c>
      <c r="CH17" s="156">
        <v>102.282</v>
      </c>
      <c r="CI17" s="156"/>
      <c r="CJ17" s="156">
        <v>692.00900000000001</v>
      </c>
      <c r="CK17" s="156">
        <v>67.212999999999994</v>
      </c>
    </row>
    <row r="18" spans="2:105" ht="21" customHeight="1">
      <c r="B18" s="110"/>
      <c r="C18" s="103" t="s">
        <v>7</v>
      </c>
      <c r="D18" s="104">
        <f>205132/1000</f>
        <v>205.13200000000001</v>
      </c>
      <c r="E18" s="105">
        <v>57.061999999999998</v>
      </c>
      <c r="F18" s="105"/>
      <c r="G18" s="105">
        <f>228828/1000</f>
        <v>228.828</v>
      </c>
      <c r="H18" s="105">
        <v>64.313999999999993</v>
      </c>
      <c r="I18" s="105"/>
      <c r="J18" s="105">
        <f>232294/1000</f>
        <v>232.29400000000001</v>
      </c>
      <c r="K18" s="105">
        <v>78.739999999999995</v>
      </c>
      <c r="L18" s="105"/>
      <c r="M18" s="105">
        <v>265.73</v>
      </c>
      <c r="N18" s="105">
        <v>92.352999999999994</v>
      </c>
      <c r="O18" s="105"/>
      <c r="P18" s="105">
        <f>279602/1000</f>
        <v>279.60199999999998</v>
      </c>
      <c r="Q18" s="105">
        <v>83.527000000000001</v>
      </c>
      <c r="R18" s="105"/>
      <c r="S18" s="105">
        <f>352135/1000</f>
        <v>352.13499999999999</v>
      </c>
      <c r="T18" s="105">
        <v>82.436000000000007</v>
      </c>
      <c r="U18" s="105"/>
      <c r="V18" s="105">
        <f>384748/1000</f>
        <v>384.74799999999999</v>
      </c>
      <c r="W18" s="105">
        <v>89.911000000000001</v>
      </c>
      <c r="X18" s="105"/>
      <c r="Y18" s="105">
        <f>405383/1000</f>
        <v>405.38299999999998</v>
      </c>
      <c r="Z18" s="105">
        <v>72.588999999999999</v>
      </c>
      <c r="AA18" s="105"/>
      <c r="AB18" s="105">
        <f>471608/1000</f>
        <v>471.608</v>
      </c>
      <c r="AC18" s="105">
        <v>74.826999999999998</v>
      </c>
      <c r="AD18" s="105"/>
      <c r="AE18" s="105">
        <f>693059/1000</f>
        <v>693.05899999999997</v>
      </c>
      <c r="AF18" s="105">
        <v>111.06399999999999</v>
      </c>
      <c r="AG18" s="105"/>
      <c r="AH18" s="105">
        <v>865.87599999999998</v>
      </c>
      <c r="AI18" s="105">
        <v>140.077</v>
      </c>
      <c r="AJ18" s="106"/>
      <c r="AK18" s="105">
        <v>956.46799999999996</v>
      </c>
      <c r="AL18" s="105">
        <v>147.02799999999999</v>
      </c>
      <c r="AM18" s="87"/>
      <c r="AN18" s="106">
        <v>1110.807</v>
      </c>
      <c r="AO18" s="106">
        <v>214.721</v>
      </c>
      <c r="AP18" s="87"/>
      <c r="AQ18" s="106">
        <v>1238.9290000000001</v>
      </c>
      <c r="AR18" s="106">
        <v>228.529</v>
      </c>
      <c r="AS18" s="87"/>
      <c r="AT18" s="106">
        <v>1138.2940000000001</v>
      </c>
      <c r="AU18" s="106">
        <v>220.285</v>
      </c>
      <c r="AV18" s="87"/>
      <c r="AW18" s="106">
        <v>1218.7280000000001</v>
      </c>
      <c r="AX18" s="106">
        <v>241.77</v>
      </c>
      <c r="AY18" s="106"/>
      <c r="AZ18" s="106">
        <v>1338.2950000000001</v>
      </c>
      <c r="BA18" s="106">
        <v>331.47500000000002</v>
      </c>
      <c r="BB18" s="106"/>
      <c r="BC18" s="106">
        <v>1216.8</v>
      </c>
      <c r="BD18" s="106">
        <v>288.2</v>
      </c>
      <c r="BE18" s="106"/>
      <c r="BF18" s="106">
        <v>1120.5</v>
      </c>
      <c r="BG18" s="106">
        <v>267.89999999999998</v>
      </c>
      <c r="BH18" s="107"/>
      <c r="BI18" s="108">
        <v>1221.9000000000001</v>
      </c>
      <c r="BJ18" s="106">
        <v>223.6</v>
      </c>
      <c r="BK18" s="106"/>
      <c r="BL18" s="106">
        <v>1304</v>
      </c>
      <c r="BM18" s="106">
        <v>200.2</v>
      </c>
      <c r="BN18" s="106"/>
      <c r="BO18" s="106">
        <v>1275.0999999999999</v>
      </c>
      <c r="BP18" s="106">
        <v>274.8</v>
      </c>
      <c r="BQ18" s="109"/>
      <c r="BR18" s="106">
        <v>1551.5</v>
      </c>
      <c r="BS18" s="106">
        <v>229</v>
      </c>
      <c r="BT18" s="109"/>
      <c r="BU18" s="106">
        <v>1584.9</v>
      </c>
      <c r="BV18" s="106">
        <v>315.60000000000002</v>
      </c>
      <c r="BW18" s="106"/>
      <c r="BX18" s="106">
        <v>1657.3</v>
      </c>
      <c r="BY18" s="106">
        <v>229.3</v>
      </c>
      <c r="BZ18" s="106"/>
      <c r="CA18" s="106">
        <v>1654.066</v>
      </c>
      <c r="CB18" s="106">
        <v>231.69900000000001</v>
      </c>
      <c r="CC18" s="106"/>
      <c r="CD18" s="156">
        <v>2111.3000000000002</v>
      </c>
      <c r="CE18" s="156">
        <v>268</v>
      </c>
      <c r="CF18" s="156"/>
      <c r="CG18" s="156">
        <v>2684.826</v>
      </c>
      <c r="CH18" s="156">
        <v>303.45400000000001</v>
      </c>
      <c r="CI18" s="156"/>
      <c r="CJ18" s="156">
        <v>2836.2530000000002</v>
      </c>
      <c r="CK18" s="156">
        <v>281.85500000000002</v>
      </c>
    </row>
    <row r="19" spans="2:105" ht="21" customHeight="1">
      <c r="B19" s="110"/>
      <c r="C19" s="103" t="s">
        <v>65</v>
      </c>
      <c r="D19" s="104">
        <v>23.5</v>
      </c>
      <c r="E19" s="105">
        <v>5.0999999999999996</v>
      </c>
      <c r="F19" s="105"/>
      <c r="G19" s="105">
        <v>19.8</v>
      </c>
      <c r="H19" s="105">
        <v>5.0999999999999996</v>
      </c>
      <c r="I19" s="105"/>
      <c r="J19" s="105">
        <v>20.5</v>
      </c>
      <c r="K19" s="105">
        <v>6.5</v>
      </c>
      <c r="L19" s="105"/>
      <c r="M19" s="105">
        <v>24.4</v>
      </c>
      <c r="N19" s="105">
        <v>9</v>
      </c>
      <c r="O19" s="105"/>
      <c r="P19" s="105">
        <v>27.4</v>
      </c>
      <c r="Q19" s="105">
        <v>7.9</v>
      </c>
      <c r="R19" s="105"/>
      <c r="S19" s="105">
        <v>34.200000000000003</v>
      </c>
      <c r="T19" s="105">
        <v>8.1</v>
      </c>
      <c r="U19" s="105"/>
      <c r="V19" s="105">
        <v>31.9</v>
      </c>
      <c r="W19" s="105">
        <v>7.1</v>
      </c>
      <c r="X19" s="105"/>
      <c r="Y19" s="105">
        <v>30.9</v>
      </c>
      <c r="Z19" s="105">
        <v>5.5</v>
      </c>
      <c r="AA19" s="105"/>
      <c r="AB19" s="105">
        <v>27.8</v>
      </c>
      <c r="AC19" s="105">
        <v>5.5</v>
      </c>
      <c r="AD19" s="105"/>
      <c r="AE19" s="105">
        <v>25.5</v>
      </c>
      <c r="AF19" s="105">
        <v>6.4</v>
      </c>
      <c r="AG19" s="105"/>
      <c r="AH19" s="105">
        <v>28.4</v>
      </c>
      <c r="AI19" s="105">
        <v>6</v>
      </c>
      <c r="AJ19" s="106"/>
      <c r="AK19" s="105">
        <v>25.4</v>
      </c>
      <c r="AL19" s="105">
        <v>11.8</v>
      </c>
      <c r="AM19" s="87"/>
      <c r="AN19" s="106">
        <v>24</v>
      </c>
      <c r="AO19" s="106">
        <v>15.5</v>
      </c>
      <c r="AP19" s="87"/>
      <c r="AQ19" s="106">
        <v>26.9</v>
      </c>
      <c r="AR19" s="106">
        <v>8.3000000000000007</v>
      </c>
      <c r="AS19" s="87"/>
      <c r="AT19" s="106">
        <v>25.2</v>
      </c>
      <c r="AU19" s="106">
        <v>4.4000000000000004</v>
      </c>
      <c r="AV19" s="87"/>
      <c r="AW19" s="106">
        <v>176.3</v>
      </c>
      <c r="AX19" s="106">
        <v>3.1</v>
      </c>
      <c r="AY19" s="106"/>
      <c r="AZ19" s="106">
        <v>20.100000000000001</v>
      </c>
      <c r="BA19" s="106">
        <v>2.4</v>
      </c>
      <c r="BB19" s="106"/>
      <c r="BC19" s="106">
        <v>15.5</v>
      </c>
      <c r="BD19" s="106">
        <v>1.9</v>
      </c>
      <c r="BE19" s="106"/>
      <c r="BF19" s="106">
        <v>14</v>
      </c>
      <c r="BG19" s="106">
        <v>2.6</v>
      </c>
      <c r="BH19" s="107"/>
      <c r="BI19" s="108">
        <v>13.5</v>
      </c>
      <c r="BJ19" s="106">
        <v>2.9</v>
      </c>
      <c r="BK19" s="106"/>
      <c r="BL19" s="106">
        <v>14.2</v>
      </c>
      <c r="BM19" s="106">
        <v>164.4</v>
      </c>
      <c r="BN19" s="106"/>
      <c r="BO19" s="106">
        <v>17.8</v>
      </c>
      <c r="BP19" s="106">
        <v>3.2</v>
      </c>
      <c r="BQ19" s="109"/>
      <c r="BR19" s="106">
        <v>18.8</v>
      </c>
      <c r="BS19" s="106">
        <v>3.9</v>
      </c>
      <c r="BT19" s="109"/>
      <c r="BU19" s="106">
        <v>20.399999999999999</v>
      </c>
      <c r="BV19" s="106">
        <v>114.3</v>
      </c>
      <c r="BW19" s="106"/>
      <c r="BX19" s="106">
        <v>22.8</v>
      </c>
      <c r="BY19" s="106">
        <v>4.0999999999999996</v>
      </c>
      <c r="BZ19" s="106"/>
      <c r="CA19" s="106">
        <v>25.8</v>
      </c>
      <c r="CB19" s="106">
        <v>3.3</v>
      </c>
      <c r="CC19" s="106"/>
      <c r="CD19" s="156">
        <v>102.7</v>
      </c>
      <c r="CE19" s="156">
        <v>12.71</v>
      </c>
      <c r="CF19" s="156"/>
      <c r="CG19" s="156">
        <v>172.66800000000001</v>
      </c>
      <c r="CH19" s="156">
        <v>15.702</v>
      </c>
      <c r="CI19" s="156"/>
      <c r="CJ19" s="156">
        <v>83.194000000000003</v>
      </c>
      <c r="CK19" s="156">
        <v>8.0690000000000008</v>
      </c>
    </row>
    <row r="20" spans="2:105" ht="21" customHeight="1">
      <c r="B20" s="110"/>
      <c r="C20" s="103" t="s">
        <v>8</v>
      </c>
      <c r="D20" s="104">
        <f>279508/1000</f>
        <v>279.50799999999998</v>
      </c>
      <c r="E20" s="105">
        <v>12.093999999999999</v>
      </c>
      <c r="F20" s="105"/>
      <c r="G20" s="105">
        <f>290417/1000</f>
        <v>290.41699999999997</v>
      </c>
      <c r="H20" s="105">
        <v>17.655000000000001</v>
      </c>
      <c r="I20" s="105"/>
      <c r="J20" s="105">
        <f>267039/1000</f>
        <v>267.03899999999999</v>
      </c>
      <c r="K20" s="105">
        <v>14.167999999999999</v>
      </c>
      <c r="L20" s="105"/>
      <c r="M20" s="105">
        <v>304.77999999999997</v>
      </c>
      <c r="N20" s="105">
        <v>8.952</v>
      </c>
      <c r="O20" s="105"/>
      <c r="P20" s="105">
        <f>301709/1000</f>
        <v>301.709</v>
      </c>
      <c r="Q20" s="105">
        <v>15.715</v>
      </c>
      <c r="R20" s="105"/>
      <c r="S20" s="105">
        <f>362358/1000</f>
        <v>362.358</v>
      </c>
      <c r="T20" s="105">
        <v>10.455</v>
      </c>
      <c r="U20" s="105"/>
      <c r="V20" s="105">
        <f>381284/1000</f>
        <v>381.28399999999999</v>
      </c>
      <c r="W20" s="105">
        <v>6.9969999999999999</v>
      </c>
      <c r="X20" s="105"/>
      <c r="Y20" s="105">
        <f>392508/1000</f>
        <v>392.50799999999998</v>
      </c>
      <c r="Z20" s="105">
        <v>21.045000000000002</v>
      </c>
      <c r="AA20" s="105"/>
      <c r="AB20" s="105">
        <f>387747/1000</f>
        <v>387.74700000000001</v>
      </c>
      <c r="AC20" s="105">
        <v>12.97</v>
      </c>
      <c r="AD20" s="105"/>
      <c r="AE20" s="105">
        <f>481361/1000</f>
        <v>481.36099999999999</v>
      </c>
      <c r="AF20" s="105">
        <v>16.138999999999999</v>
      </c>
      <c r="AG20" s="105"/>
      <c r="AH20" s="105">
        <v>513.32299999999998</v>
      </c>
      <c r="AI20" s="105">
        <v>11.734</v>
      </c>
      <c r="AJ20" s="106"/>
      <c r="AK20" s="105">
        <v>629.64400000000001</v>
      </c>
      <c r="AL20" s="105">
        <v>36.781999999999996</v>
      </c>
      <c r="AM20" s="87"/>
      <c r="AN20" s="106">
        <v>642.00199999999995</v>
      </c>
      <c r="AO20" s="106">
        <v>29.358000000000001</v>
      </c>
      <c r="AP20" s="87"/>
      <c r="AQ20" s="106">
        <v>774.53200000000004</v>
      </c>
      <c r="AR20" s="106">
        <v>36.228000000000002</v>
      </c>
      <c r="AS20" s="87"/>
      <c r="AT20" s="106">
        <v>609.47199999999998</v>
      </c>
      <c r="AU20" s="106">
        <v>18.295000000000002</v>
      </c>
      <c r="AV20" s="87"/>
      <c r="AW20" s="106">
        <v>604.54899999999998</v>
      </c>
      <c r="AX20" s="106">
        <v>25.338000000000001</v>
      </c>
      <c r="AY20" s="106"/>
      <c r="AZ20" s="106">
        <v>505.79500000000002</v>
      </c>
      <c r="BA20" s="106">
        <v>40.164000000000001</v>
      </c>
      <c r="BB20" s="106"/>
      <c r="BC20" s="106">
        <v>471.2</v>
      </c>
      <c r="BD20" s="106">
        <v>39.6</v>
      </c>
      <c r="BE20" s="106"/>
      <c r="BF20" s="106">
        <v>337.5</v>
      </c>
      <c r="BG20" s="106">
        <v>29.2</v>
      </c>
      <c r="BH20" s="107"/>
      <c r="BI20" s="108">
        <v>365.8</v>
      </c>
      <c r="BJ20" s="106">
        <v>27.6</v>
      </c>
      <c r="BK20" s="106"/>
      <c r="BL20" s="106">
        <v>427.1</v>
      </c>
      <c r="BM20" s="106">
        <v>38.4</v>
      </c>
      <c r="BN20" s="106"/>
      <c r="BO20" s="106">
        <v>403.9</v>
      </c>
      <c r="BP20" s="106">
        <v>17.8</v>
      </c>
      <c r="BQ20" s="109"/>
      <c r="BR20" s="106">
        <v>606.70000000000005</v>
      </c>
      <c r="BS20" s="106">
        <v>49.6</v>
      </c>
      <c r="BT20" s="109"/>
      <c r="BU20" s="106">
        <v>761.8</v>
      </c>
      <c r="BV20" s="106">
        <v>22.9</v>
      </c>
      <c r="BW20" s="106"/>
      <c r="BX20" s="106">
        <v>834.8</v>
      </c>
      <c r="BY20" s="106">
        <v>43.3</v>
      </c>
      <c r="BZ20" s="106"/>
      <c r="CA20" s="106">
        <v>628.66399999999999</v>
      </c>
      <c r="CB20" s="106">
        <v>31.704999999999998</v>
      </c>
      <c r="CC20" s="106"/>
      <c r="CD20" s="156">
        <v>898.5</v>
      </c>
      <c r="CE20" s="156">
        <v>45.7</v>
      </c>
      <c r="CF20" s="156"/>
      <c r="CG20" s="156">
        <v>1214.3900000000001</v>
      </c>
      <c r="CH20" s="156">
        <v>50.271000000000001</v>
      </c>
      <c r="CI20" s="156"/>
      <c r="CJ20" s="156">
        <v>1002.328</v>
      </c>
      <c r="CK20" s="156">
        <v>43.734999999999999</v>
      </c>
    </row>
    <row r="21" spans="2:105" ht="21" customHeight="1">
      <c r="B21" s="110"/>
      <c r="C21" s="103" t="s">
        <v>9</v>
      </c>
      <c r="D21" s="104">
        <f>58448/1000</f>
        <v>58.448</v>
      </c>
      <c r="E21" s="105">
        <v>15.875999999999999</v>
      </c>
      <c r="F21" s="105"/>
      <c r="G21" s="105">
        <f>54208/1000</f>
        <v>54.207999999999998</v>
      </c>
      <c r="H21" s="105">
        <v>14.683</v>
      </c>
      <c r="I21" s="105"/>
      <c r="J21" s="105">
        <f>57332/1000</f>
        <v>57.332000000000001</v>
      </c>
      <c r="K21" s="105">
        <v>13.124000000000001</v>
      </c>
      <c r="L21" s="105"/>
      <c r="M21" s="105">
        <v>67.051000000000002</v>
      </c>
      <c r="N21" s="105">
        <v>17.533000000000001</v>
      </c>
      <c r="O21" s="105"/>
      <c r="P21" s="105">
        <f>72178/1000</f>
        <v>72.177999999999997</v>
      </c>
      <c r="Q21" s="105">
        <v>22.645</v>
      </c>
      <c r="R21" s="105"/>
      <c r="S21" s="105">
        <f>86010/1000</f>
        <v>86.01</v>
      </c>
      <c r="T21" s="105">
        <v>18.818000000000001</v>
      </c>
      <c r="U21" s="105"/>
      <c r="V21" s="105">
        <f>90212/1000</f>
        <v>90.212000000000003</v>
      </c>
      <c r="W21" s="105">
        <v>18.27</v>
      </c>
      <c r="X21" s="105"/>
      <c r="Y21" s="105">
        <f>90448/1000</f>
        <v>90.447999999999993</v>
      </c>
      <c r="Z21" s="105">
        <v>23.155999999999999</v>
      </c>
      <c r="AA21" s="105"/>
      <c r="AB21" s="105">
        <f>96281/1000</f>
        <v>96.281000000000006</v>
      </c>
      <c r="AC21" s="105">
        <v>21.016999999999999</v>
      </c>
      <c r="AD21" s="105"/>
      <c r="AE21" s="105">
        <f>150486/1000</f>
        <v>150.48599999999999</v>
      </c>
      <c r="AF21" s="105">
        <v>23.06</v>
      </c>
      <c r="AG21" s="105"/>
      <c r="AH21" s="105">
        <v>197.80099999999999</v>
      </c>
      <c r="AI21" s="105">
        <v>24.196000000000002</v>
      </c>
      <c r="AJ21" s="106"/>
      <c r="AK21" s="105">
        <v>233.18</v>
      </c>
      <c r="AL21" s="105">
        <v>15.956</v>
      </c>
      <c r="AM21" s="87"/>
      <c r="AN21" s="106">
        <v>255.28</v>
      </c>
      <c r="AO21" s="106">
        <v>16.344999999999999</v>
      </c>
      <c r="AP21" s="87"/>
      <c r="AQ21" s="106">
        <v>295.66500000000002</v>
      </c>
      <c r="AR21" s="106">
        <v>16.471</v>
      </c>
      <c r="AS21" s="87"/>
      <c r="AT21" s="106">
        <v>271.38900000000001</v>
      </c>
      <c r="AU21" s="106">
        <v>12.818</v>
      </c>
      <c r="AV21" s="87"/>
      <c r="AW21" s="106">
        <v>289.90699999999998</v>
      </c>
      <c r="AX21" s="106">
        <v>18.654</v>
      </c>
      <c r="AY21" s="106"/>
      <c r="AZ21" s="106">
        <v>281.964</v>
      </c>
      <c r="BA21" s="106">
        <v>17.553999999999998</v>
      </c>
      <c r="BB21" s="106"/>
      <c r="BC21" s="106">
        <v>382.6</v>
      </c>
      <c r="BD21" s="106">
        <v>16.600000000000001</v>
      </c>
      <c r="BE21" s="106"/>
      <c r="BF21" s="106">
        <v>295.2</v>
      </c>
      <c r="BG21" s="106">
        <v>18.5</v>
      </c>
      <c r="BH21" s="107"/>
      <c r="BI21" s="108">
        <v>336.6</v>
      </c>
      <c r="BJ21" s="106">
        <v>329.8</v>
      </c>
      <c r="BK21" s="106"/>
      <c r="BL21" s="106">
        <v>326.89999999999998</v>
      </c>
      <c r="BM21" s="106">
        <v>120.6</v>
      </c>
      <c r="BN21" s="106"/>
      <c r="BO21" s="106">
        <v>234.1</v>
      </c>
      <c r="BP21" s="106">
        <v>32.6</v>
      </c>
      <c r="BQ21" s="109"/>
      <c r="BR21" s="106">
        <v>409.3</v>
      </c>
      <c r="BS21" s="106">
        <v>78.7</v>
      </c>
      <c r="BT21" s="109"/>
      <c r="BU21" s="106">
        <v>374.4</v>
      </c>
      <c r="BV21" s="106">
        <v>28.5</v>
      </c>
      <c r="BW21" s="106"/>
      <c r="BX21" s="106">
        <v>354.3</v>
      </c>
      <c r="BY21" s="106">
        <v>406.1</v>
      </c>
      <c r="BZ21" s="106"/>
      <c r="CA21" s="106">
        <v>367.447</v>
      </c>
      <c r="CB21" s="106">
        <v>147.078</v>
      </c>
      <c r="CC21" s="106"/>
      <c r="CD21" s="156">
        <v>444.1</v>
      </c>
      <c r="CE21" s="156">
        <v>56.4</v>
      </c>
      <c r="CF21" s="156"/>
      <c r="CG21" s="156">
        <v>484.28300000000002</v>
      </c>
      <c r="CH21" s="156">
        <v>40.262</v>
      </c>
      <c r="CI21" s="156"/>
      <c r="CJ21" s="156">
        <v>455.60899999999998</v>
      </c>
      <c r="CK21" s="156">
        <v>48.965000000000003</v>
      </c>
    </row>
    <row r="22" spans="2:105" ht="21" customHeight="1">
      <c r="B22" s="110"/>
      <c r="C22" s="103" t="s">
        <v>53</v>
      </c>
      <c r="D22" s="104">
        <v>3.8</v>
      </c>
      <c r="E22" s="105">
        <v>4.8</v>
      </c>
      <c r="F22" s="105"/>
      <c r="G22" s="105">
        <v>6.9</v>
      </c>
      <c r="H22" s="105">
        <v>3.4</v>
      </c>
      <c r="I22" s="105"/>
      <c r="J22" s="105">
        <v>2.4</v>
      </c>
      <c r="K22" s="105">
        <v>2.2000000000000002</v>
      </c>
      <c r="L22" s="105"/>
      <c r="M22" s="105">
        <v>2.8</v>
      </c>
      <c r="N22" s="105">
        <v>1.3</v>
      </c>
      <c r="O22" s="105"/>
      <c r="P22" s="105">
        <v>4</v>
      </c>
      <c r="Q22" s="105">
        <v>0.4</v>
      </c>
      <c r="R22" s="105"/>
      <c r="S22" s="105">
        <v>5</v>
      </c>
      <c r="T22" s="105">
        <v>1.6</v>
      </c>
      <c r="U22" s="105"/>
      <c r="V22" s="105">
        <v>10</v>
      </c>
      <c r="W22" s="105">
        <v>0.3</v>
      </c>
      <c r="X22" s="105"/>
      <c r="Y22" s="105">
        <v>10</v>
      </c>
      <c r="Z22" s="105">
        <v>0.3</v>
      </c>
      <c r="AA22" s="105"/>
      <c r="AB22" s="105">
        <v>10.4</v>
      </c>
      <c r="AC22" s="105">
        <v>0.6</v>
      </c>
      <c r="AD22" s="105"/>
      <c r="AE22" s="105">
        <v>10.8</v>
      </c>
      <c r="AF22" s="105">
        <v>1.1000000000000001</v>
      </c>
      <c r="AG22" s="105"/>
      <c r="AH22" s="105">
        <v>13.2</v>
      </c>
      <c r="AI22" s="105">
        <v>1</v>
      </c>
      <c r="AJ22" s="106"/>
      <c r="AK22" s="105">
        <v>15.4</v>
      </c>
      <c r="AL22" s="105">
        <v>1.4</v>
      </c>
      <c r="AM22" s="87"/>
      <c r="AN22" s="106">
        <v>25.3</v>
      </c>
      <c r="AO22" s="106">
        <v>2.6</v>
      </c>
      <c r="AP22" s="87"/>
      <c r="AQ22" s="106">
        <v>38.1</v>
      </c>
      <c r="AR22" s="106">
        <v>2.5</v>
      </c>
      <c r="AS22" s="87"/>
      <c r="AT22" s="106">
        <v>21.7</v>
      </c>
      <c r="AU22" s="106">
        <v>3.3</v>
      </c>
      <c r="AV22" s="87"/>
      <c r="AW22" s="106">
        <v>20.9</v>
      </c>
      <c r="AX22" s="106">
        <v>2.2000000000000002</v>
      </c>
      <c r="AY22" s="106"/>
      <c r="AZ22" s="106">
        <v>34.700000000000003</v>
      </c>
      <c r="BA22" s="106">
        <v>3.7</v>
      </c>
      <c r="BB22" s="106"/>
      <c r="BC22" s="106">
        <v>27.6</v>
      </c>
      <c r="BD22" s="106">
        <v>3.2</v>
      </c>
      <c r="BE22" s="106"/>
      <c r="BF22" s="106">
        <v>19</v>
      </c>
      <c r="BG22" s="106">
        <v>4.3</v>
      </c>
      <c r="BH22" s="107"/>
      <c r="BI22" s="108">
        <v>26.4</v>
      </c>
      <c r="BJ22" s="106">
        <v>6.6</v>
      </c>
      <c r="BK22" s="106"/>
      <c r="BL22" s="106">
        <v>30.3</v>
      </c>
      <c r="BM22" s="106">
        <v>12.2</v>
      </c>
      <c r="BN22" s="106"/>
      <c r="BO22" s="106">
        <v>42.8</v>
      </c>
      <c r="BP22" s="106">
        <v>15</v>
      </c>
      <c r="BQ22" s="109"/>
      <c r="BR22" s="106">
        <v>51.2</v>
      </c>
      <c r="BS22" s="106">
        <v>7.2</v>
      </c>
      <c r="BT22" s="109"/>
      <c r="BU22" s="106">
        <v>57.9</v>
      </c>
      <c r="BV22" s="106">
        <v>7.9</v>
      </c>
      <c r="BW22" s="106"/>
      <c r="BX22" s="106">
        <v>62.1</v>
      </c>
      <c r="BY22" s="106">
        <v>10</v>
      </c>
      <c r="BZ22" s="106"/>
      <c r="CA22" s="106">
        <v>59.811999999999998</v>
      </c>
      <c r="CB22" s="106">
        <v>13.108000000000001</v>
      </c>
      <c r="CC22" s="106"/>
      <c r="CD22" s="156">
        <v>132.6</v>
      </c>
      <c r="CE22" s="156">
        <v>19.3</v>
      </c>
      <c r="CF22" s="156"/>
      <c r="CG22" s="156">
        <v>87.772000000000006</v>
      </c>
      <c r="CH22" s="156">
        <v>16.937000000000001</v>
      </c>
      <c r="CI22" s="156"/>
      <c r="CJ22" s="156">
        <v>91.173000000000002</v>
      </c>
      <c r="CK22" s="156">
        <v>21.594000000000001</v>
      </c>
    </row>
    <row r="23" spans="2:105" ht="21" customHeight="1">
      <c r="B23" s="110"/>
      <c r="C23" s="103" t="s">
        <v>48</v>
      </c>
      <c r="D23" s="104">
        <v>11.3</v>
      </c>
      <c r="E23" s="105">
        <v>45.4</v>
      </c>
      <c r="F23" s="105"/>
      <c r="G23" s="105">
        <v>18.399999999999999</v>
      </c>
      <c r="H23" s="105">
        <v>18.100000000000001</v>
      </c>
      <c r="I23" s="105"/>
      <c r="J23" s="105">
        <v>15.5</v>
      </c>
      <c r="K23" s="105">
        <v>20</v>
      </c>
      <c r="L23" s="105"/>
      <c r="M23" s="105">
        <v>11</v>
      </c>
      <c r="N23" s="105">
        <v>11.5</v>
      </c>
      <c r="O23" s="105"/>
      <c r="P23" s="105">
        <v>10.5</v>
      </c>
      <c r="Q23" s="105">
        <v>8.1</v>
      </c>
      <c r="R23" s="105"/>
      <c r="S23" s="105">
        <v>4.9000000000000004</v>
      </c>
      <c r="T23" s="105">
        <v>8.4</v>
      </c>
      <c r="U23" s="105"/>
      <c r="V23" s="105">
        <v>7.5</v>
      </c>
      <c r="W23" s="105">
        <v>11.1</v>
      </c>
      <c r="X23" s="105"/>
      <c r="Y23" s="105">
        <v>8.6</v>
      </c>
      <c r="Z23" s="105">
        <v>10.6</v>
      </c>
      <c r="AA23" s="105"/>
      <c r="AB23" s="105">
        <v>19.600000000000001</v>
      </c>
      <c r="AC23" s="105">
        <v>7.9</v>
      </c>
      <c r="AD23" s="105"/>
      <c r="AE23" s="105">
        <v>38.5</v>
      </c>
      <c r="AF23" s="105">
        <v>13.2</v>
      </c>
      <c r="AG23" s="105"/>
      <c r="AH23" s="105">
        <v>11</v>
      </c>
      <c r="AI23" s="105">
        <v>13.4</v>
      </c>
      <c r="AJ23" s="106"/>
      <c r="AK23" s="105">
        <v>26.1</v>
      </c>
      <c r="AL23" s="105">
        <v>14.4</v>
      </c>
      <c r="AM23" s="87"/>
      <c r="AN23" s="106">
        <v>14.1</v>
      </c>
      <c r="AO23" s="106">
        <v>31.2</v>
      </c>
      <c r="AP23" s="87"/>
      <c r="AQ23" s="106">
        <v>23.2</v>
      </c>
      <c r="AR23" s="106">
        <v>20.8</v>
      </c>
      <c r="AS23" s="87"/>
      <c r="AT23" s="106">
        <v>36.1</v>
      </c>
      <c r="AU23" s="106">
        <v>9.6</v>
      </c>
      <c r="AV23" s="87"/>
      <c r="AW23" s="106">
        <v>68.400000000000006</v>
      </c>
      <c r="AX23" s="106">
        <v>13.1</v>
      </c>
      <c r="AY23" s="106"/>
      <c r="AZ23" s="106">
        <v>37.6</v>
      </c>
      <c r="BA23" s="106">
        <v>13</v>
      </c>
      <c r="BB23" s="106"/>
      <c r="BC23" s="106">
        <v>29</v>
      </c>
      <c r="BD23" s="106">
        <v>15.8</v>
      </c>
      <c r="BE23" s="106"/>
      <c r="BF23" s="106">
        <v>35.6</v>
      </c>
      <c r="BG23" s="106">
        <v>13.1</v>
      </c>
      <c r="BH23" s="107"/>
      <c r="BI23" s="108">
        <v>39.700000000000003</v>
      </c>
      <c r="BJ23" s="106">
        <v>14.3</v>
      </c>
      <c r="BK23" s="106"/>
      <c r="BL23" s="106">
        <v>76.599999999999994</v>
      </c>
      <c r="BM23" s="106">
        <v>14.4</v>
      </c>
      <c r="BN23" s="106"/>
      <c r="BO23" s="106">
        <v>62.8</v>
      </c>
      <c r="BP23" s="106">
        <v>23.9</v>
      </c>
      <c r="BQ23" s="109"/>
      <c r="BR23" s="106">
        <v>44.8</v>
      </c>
      <c r="BS23" s="106">
        <v>24.9</v>
      </c>
      <c r="BT23" s="109"/>
      <c r="BU23" s="106">
        <v>57.3</v>
      </c>
      <c r="BV23" s="106">
        <v>19.5</v>
      </c>
      <c r="BW23" s="106"/>
      <c r="BX23" s="106">
        <v>73.7</v>
      </c>
      <c r="BY23" s="106">
        <v>21</v>
      </c>
      <c r="BZ23" s="106"/>
      <c r="CA23" s="106">
        <v>83.503</v>
      </c>
      <c r="CB23" s="106">
        <v>21.670999999999999</v>
      </c>
      <c r="CC23" s="106"/>
      <c r="CD23" s="156">
        <v>136.9</v>
      </c>
      <c r="CE23" s="156">
        <v>23.614000000000001</v>
      </c>
      <c r="CF23" s="156"/>
      <c r="CG23" s="156">
        <v>153.31399999999999</v>
      </c>
      <c r="CH23" s="156">
        <v>31.184000000000001</v>
      </c>
      <c r="CI23" s="156"/>
      <c r="CJ23" s="156">
        <v>168.79</v>
      </c>
      <c r="CK23" s="156">
        <v>43.003</v>
      </c>
    </row>
    <row r="24" spans="2:105" ht="21" customHeight="1">
      <c r="B24" s="110"/>
      <c r="C24" s="103" t="s">
        <v>10</v>
      </c>
      <c r="D24" s="104">
        <f>60958/1000</f>
        <v>60.957999999999998</v>
      </c>
      <c r="E24" s="105">
        <v>9.1530000000000005</v>
      </c>
      <c r="F24" s="105"/>
      <c r="G24" s="105">
        <f>74309/1000</f>
        <v>74.308999999999997</v>
      </c>
      <c r="H24" s="105">
        <v>6.5759999999999996</v>
      </c>
      <c r="I24" s="105"/>
      <c r="J24" s="105">
        <f>84649/1000</f>
        <v>84.649000000000001</v>
      </c>
      <c r="K24" s="105">
        <v>5.3929999999999998</v>
      </c>
      <c r="L24" s="105"/>
      <c r="M24" s="105">
        <v>118.444</v>
      </c>
      <c r="N24" s="105">
        <v>6.1269999999999998</v>
      </c>
      <c r="O24" s="105"/>
      <c r="P24" s="105">
        <f>103391/1000</f>
        <v>103.39100000000001</v>
      </c>
      <c r="Q24" s="105">
        <v>5.4729999999999999</v>
      </c>
      <c r="R24" s="105"/>
      <c r="S24" s="105">
        <f>135858/1000</f>
        <v>135.858</v>
      </c>
      <c r="T24" s="105">
        <v>16.02</v>
      </c>
      <c r="U24" s="105"/>
      <c r="V24" s="105">
        <f>164956/1000</f>
        <v>164.95599999999999</v>
      </c>
      <c r="W24" s="105">
        <v>17.457999999999998</v>
      </c>
      <c r="X24" s="105"/>
      <c r="Y24" s="105">
        <f>148962/1000</f>
        <v>148.96199999999999</v>
      </c>
      <c r="Z24" s="105">
        <v>12.907999999999999</v>
      </c>
      <c r="AA24" s="105"/>
      <c r="AB24" s="105">
        <f>157008/1000</f>
        <v>157.00800000000001</v>
      </c>
      <c r="AC24" s="105">
        <v>9.2669999999999995</v>
      </c>
      <c r="AD24" s="105"/>
      <c r="AE24" s="105">
        <f>166454/1000</f>
        <v>166.45400000000001</v>
      </c>
      <c r="AF24" s="105">
        <v>7.6609999999999996</v>
      </c>
      <c r="AG24" s="105"/>
      <c r="AH24" s="105">
        <v>164.69200000000001</v>
      </c>
      <c r="AI24" s="105">
        <v>4.9770000000000003</v>
      </c>
      <c r="AJ24" s="106"/>
      <c r="AK24" s="105">
        <v>159.75200000000001</v>
      </c>
      <c r="AL24" s="105">
        <v>6.9279999999999999</v>
      </c>
      <c r="AM24" s="87"/>
      <c r="AN24" s="106">
        <v>223.99700000000001</v>
      </c>
      <c r="AO24" s="106">
        <v>5.9660000000000002</v>
      </c>
      <c r="AP24" s="87"/>
      <c r="AQ24" s="106">
        <v>262.81799999999998</v>
      </c>
      <c r="AR24" s="106">
        <v>21.117999999999999</v>
      </c>
      <c r="AS24" s="87"/>
      <c r="AT24" s="106">
        <v>204.23699999999999</v>
      </c>
      <c r="AU24" s="106">
        <v>3.3809999999999998</v>
      </c>
      <c r="AV24" s="87"/>
      <c r="AW24" s="106">
        <v>179.154</v>
      </c>
      <c r="AX24" s="106">
        <v>5.2220000000000004</v>
      </c>
      <c r="AY24" s="106"/>
      <c r="AZ24" s="106">
        <v>197.67</v>
      </c>
      <c r="BA24" s="106">
        <v>7.3490000000000002</v>
      </c>
      <c r="BB24" s="106"/>
      <c r="BC24" s="106">
        <v>214.7</v>
      </c>
      <c r="BD24" s="106">
        <v>7.2</v>
      </c>
      <c r="BE24" s="106"/>
      <c r="BF24" s="106">
        <v>207.6</v>
      </c>
      <c r="BG24" s="106">
        <v>5.4</v>
      </c>
      <c r="BH24" s="107"/>
      <c r="BI24" s="108">
        <v>278.60000000000002</v>
      </c>
      <c r="BJ24" s="106">
        <v>10.199999999999999</v>
      </c>
      <c r="BK24" s="106"/>
      <c r="BL24" s="106">
        <v>192.5</v>
      </c>
      <c r="BM24" s="106">
        <v>11.5</v>
      </c>
      <c r="BN24" s="106"/>
      <c r="BO24" s="106">
        <v>206.3</v>
      </c>
      <c r="BP24" s="106">
        <v>11.3</v>
      </c>
      <c r="BQ24" s="109"/>
      <c r="BR24" s="106">
        <v>227.7</v>
      </c>
      <c r="BS24" s="106">
        <v>24.8</v>
      </c>
      <c r="BT24" s="109"/>
      <c r="BU24" s="106">
        <v>433.7</v>
      </c>
      <c r="BV24" s="106">
        <v>11.4</v>
      </c>
      <c r="BW24" s="106"/>
      <c r="BX24" s="106">
        <v>330</v>
      </c>
      <c r="BY24" s="106">
        <v>14.4</v>
      </c>
      <c r="BZ24" s="106"/>
      <c r="CA24" s="106">
        <v>239.726</v>
      </c>
      <c r="CB24" s="106">
        <v>16.234000000000002</v>
      </c>
      <c r="CC24" s="106"/>
      <c r="CD24" s="156">
        <v>299.2</v>
      </c>
      <c r="CE24" s="156">
        <v>17</v>
      </c>
      <c r="CF24" s="156"/>
      <c r="CG24" s="156">
        <v>399.27800000000002</v>
      </c>
      <c r="CH24" s="156">
        <v>19.428000000000001</v>
      </c>
      <c r="CI24" s="156"/>
      <c r="CJ24" s="156">
        <v>647.24300000000005</v>
      </c>
      <c r="CK24" s="156">
        <v>58.825000000000003</v>
      </c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2:105" ht="21" customHeight="1">
      <c r="B25" s="110"/>
      <c r="C25" s="103" t="s">
        <v>49</v>
      </c>
      <c r="D25" s="104">
        <v>42.8</v>
      </c>
      <c r="E25" s="105">
        <v>3.1</v>
      </c>
      <c r="F25" s="105"/>
      <c r="G25" s="105">
        <v>50.9</v>
      </c>
      <c r="H25" s="105">
        <v>3.3</v>
      </c>
      <c r="I25" s="105"/>
      <c r="J25" s="105">
        <v>49.8</v>
      </c>
      <c r="K25" s="105">
        <v>3.5</v>
      </c>
      <c r="L25" s="105"/>
      <c r="M25" s="105">
        <v>57.2</v>
      </c>
      <c r="N25" s="105">
        <v>4.2</v>
      </c>
      <c r="O25" s="105"/>
      <c r="P25" s="105">
        <v>55.3</v>
      </c>
      <c r="Q25" s="105">
        <v>4.7</v>
      </c>
      <c r="R25" s="105"/>
      <c r="S25" s="105">
        <v>81.3</v>
      </c>
      <c r="T25" s="105">
        <v>4.8</v>
      </c>
      <c r="U25" s="105"/>
      <c r="V25" s="105">
        <v>72.8</v>
      </c>
      <c r="W25" s="105">
        <v>6.4</v>
      </c>
      <c r="X25" s="105"/>
      <c r="Y25" s="105">
        <v>65.400000000000006</v>
      </c>
      <c r="Z25" s="105">
        <v>6.1</v>
      </c>
      <c r="AA25" s="105"/>
      <c r="AB25" s="105">
        <v>67.099999999999994</v>
      </c>
      <c r="AC25" s="105">
        <v>6.2</v>
      </c>
      <c r="AD25" s="105"/>
      <c r="AE25" s="105">
        <v>65.400000000000006</v>
      </c>
      <c r="AF25" s="105">
        <v>6.8</v>
      </c>
      <c r="AG25" s="105"/>
      <c r="AH25" s="105">
        <v>66.2</v>
      </c>
      <c r="AI25" s="105">
        <v>6</v>
      </c>
      <c r="AJ25" s="106"/>
      <c r="AK25" s="105">
        <v>53.3</v>
      </c>
      <c r="AL25" s="105">
        <v>7.2</v>
      </c>
      <c r="AM25" s="87"/>
      <c r="AN25" s="106">
        <v>61.1</v>
      </c>
      <c r="AO25" s="106">
        <v>7.6</v>
      </c>
      <c r="AP25" s="87"/>
      <c r="AQ25" s="106">
        <v>129.69999999999999</v>
      </c>
      <c r="AR25" s="106">
        <v>9.8000000000000007</v>
      </c>
      <c r="AS25" s="87"/>
      <c r="AT25" s="106">
        <v>52.4</v>
      </c>
      <c r="AU25" s="106">
        <v>10.9</v>
      </c>
      <c r="AV25" s="87"/>
      <c r="AW25" s="106">
        <v>44.9</v>
      </c>
      <c r="AX25" s="106">
        <v>12.2</v>
      </c>
      <c r="AY25" s="106"/>
      <c r="AZ25" s="106">
        <v>39.6</v>
      </c>
      <c r="BA25" s="106">
        <v>16.100000000000001</v>
      </c>
      <c r="BB25" s="106"/>
      <c r="BC25" s="106">
        <v>29.8</v>
      </c>
      <c r="BD25" s="106">
        <v>16.7</v>
      </c>
      <c r="BE25" s="106"/>
      <c r="BF25" s="106">
        <v>28.4</v>
      </c>
      <c r="BG25" s="106">
        <v>21.1</v>
      </c>
      <c r="BH25" s="107"/>
      <c r="BI25" s="108">
        <v>38.9</v>
      </c>
      <c r="BJ25" s="106">
        <v>21.4</v>
      </c>
      <c r="BK25" s="106"/>
      <c r="BL25" s="106">
        <v>37.5</v>
      </c>
      <c r="BM25" s="106">
        <v>20.7</v>
      </c>
      <c r="BN25" s="106"/>
      <c r="BO25" s="106">
        <v>33.4</v>
      </c>
      <c r="BP25" s="106">
        <v>188</v>
      </c>
      <c r="BQ25" s="109"/>
      <c r="BR25" s="106">
        <v>33.299999999999997</v>
      </c>
      <c r="BS25" s="106">
        <v>33.799999999999997</v>
      </c>
      <c r="BT25" s="109"/>
      <c r="BU25" s="106">
        <v>105.1</v>
      </c>
      <c r="BV25" s="106">
        <v>38.5</v>
      </c>
      <c r="BW25" s="106"/>
      <c r="BX25" s="106">
        <v>43.2</v>
      </c>
      <c r="BY25" s="106">
        <v>40.9</v>
      </c>
      <c r="BZ25" s="106"/>
      <c r="CA25" s="106">
        <v>51.872999999999998</v>
      </c>
      <c r="CB25" s="106">
        <v>41.862000000000002</v>
      </c>
      <c r="CC25" s="106"/>
      <c r="CD25" s="156">
        <v>42.1</v>
      </c>
      <c r="CE25" s="156">
        <v>72.516000000000005</v>
      </c>
      <c r="CF25" s="156"/>
      <c r="CG25" s="156">
        <v>61.207999999999998</v>
      </c>
      <c r="CH25" s="156">
        <v>39.755000000000003</v>
      </c>
      <c r="CI25" s="156"/>
      <c r="CJ25" s="156">
        <v>117.20699999999999</v>
      </c>
      <c r="CK25" s="156">
        <v>39.137</v>
      </c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</row>
    <row r="26" spans="2:105" ht="4.5" customHeight="1">
      <c r="B26" s="110"/>
      <c r="C26" s="111"/>
      <c r="D26" s="112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113"/>
      <c r="BI26" s="114"/>
      <c r="BJ26" s="87"/>
      <c r="BK26" s="87"/>
      <c r="BL26" s="87"/>
      <c r="BM26" s="87"/>
      <c r="BN26" s="87"/>
      <c r="BO26" s="87"/>
      <c r="BP26" s="87"/>
      <c r="BQ26" s="109"/>
      <c r="BR26" s="87"/>
      <c r="BS26" s="87"/>
      <c r="BT26" s="109"/>
      <c r="BU26" s="87"/>
      <c r="BV26" s="87"/>
      <c r="BW26" s="87"/>
      <c r="BX26" s="87"/>
      <c r="BY26" s="87"/>
      <c r="BZ26" s="87"/>
      <c r="CA26" s="87"/>
      <c r="CB26" s="87"/>
      <c r="CC26" s="87"/>
      <c r="CD26" s="157"/>
      <c r="CE26" s="157"/>
      <c r="CF26" s="157"/>
      <c r="CG26" s="157"/>
      <c r="CH26" s="157"/>
      <c r="CI26" s="157"/>
      <c r="CJ26" s="157"/>
      <c r="CK26" s="157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</row>
    <row r="27" spans="2:105" ht="21" customHeight="1">
      <c r="B27" s="115" t="s">
        <v>54</v>
      </c>
      <c r="C27" s="111"/>
      <c r="D27" s="116">
        <v>1572.5</v>
      </c>
      <c r="E27" s="85">
        <v>525.1</v>
      </c>
      <c r="F27" s="85"/>
      <c r="G27" s="85">
        <v>1752.5</v>
      </c>
      <c r="H27" s="85">
        <v>617.6</v>
      </c>
      <c r="I27" s="85"/>
      <c r="J27" s="85">
        <v>1859.6</v>
      </c>
      <c r="K27" s="85">
        <v>720.3</v>
      </c>
      <c r="L27" s="85"/>
      <c r="M27" s="85">
        <v>1764.1</v>
      </c>
      <c r="N27" s="85">
        <v>594.9</v>
      </c>
      <c r="O27" s="85"/>
      <c r="P27" s="85">
        <v>1848.5</v>
      </c>
      <c r="Q27" s="85">
        <v>583</v>
      </c>
      <c r="R27" s="85"/>
      <c r="S27" s="85">
        <v>2314.6</v>
      </c>
      <c r="T27" s="85">
        <v>660.2</v>
      </c>
      <c r="U27" s="85"/>
      <c r="V27" s="85">
        <v>2250.6</v>
      </c>
      <c r="W27" s="85">
        <v>727.8</v>
      </c>
      <c r="X27" s="85"/>
      <c r="Y27" s="85">
        <v>2050.1</v>
      </c>
      <c r="Z27" s="85">
        <v>558.79999999999995</v>
      </c>
      <c r="AA27" s="85"/>
      <c r="AB27" s="85">
        <v>1828.8</v>
      </c>
      <c r="AC27" s="85">
        <v>507.1</v>
      </c>
      <c r="AD27" s="85"/>
      <c r="AE27" s="85">
        <v>1880.2</v>
      </c>
      <c r="AF27" s="85">
        <v>538.6</v>
      </c>
      <c r="AG27" s="87"/>
      <c r="AH27" s="85">
        <v>2043.4</v>
      </c>
      <c r="AI27" s="85">
        <v>499.6</v>
      </c>
      <c r="AJ27" s="85"/>
      <c r="AK27" s="85">
        <v>2227</v>
      </c>
      <c r="AL27" s="85">
        <v>471.5</v>
      </c>
      <c r="AM27" s="87"/>
      <c r="AN27" s="85">
        <v>2603</v>
      </c>
      <c r="AO27" s="85">
        <v>444.5</v>
      </c>
      <c r="AP27" s="87"/>
      <c r="AQ27" s="85">
        <v>3041</v>
      </c>
      <c r="AR27" s="85">
        <v>464.1</v>
      </c>
      <c r="AS27" s="87"/>
      <c r="AT27" s="85">
        <v>2089.1999999999998</v>
      </c>
      <c r="AU27" s="85">
        <v>403.3</v>
      </c>
      <c r="AV27" s="87"/>
      <c r="AW27" s="85">
        <v>2399.4</v>
      </c>
      <c r="AX27" s="85">
        <v>467.7</v>
      </c>
      <c r="AY27" s="85"/>
      <c r="AZ27" s="85">
        <v>2490.4</v>
      </c>
      <c r="BA27" s="85">
        <v>547.20000000000005</v>
      </c>
      <c r="BB27" s="85"/>
      <c r="BC27" s="85">
        <v>2220.9</v>
      </c>
      <c r="BD27" s="85">
        <v>651.5</v>
      </c>
      <c r="BE27" s="85"/>
      <c r="BF27" s="85">
        <v>1789.5</v>
      </c>
      <c r="BG27" s="85">
        <v>852.2</v>
      </c>
      <c r="BH27" s="88"/>
      <c r="BI27" s="89">
        <v>2565.8000000000002</v>
      </c>
      <c r="BJ27" s="85">
        <v>1329.6</v>
      </c>
      <c r="BK27" s="85"/>
      <c r="BL27" s="85">
        <v>2922.4</v>
      </c>
      <c r="BM27" s="85">
        <v>1715.6</v>
      </c>
      <c r="BN27" s="85"/>
      <c r="BO27" s="85">
        <v>2679.8</v>
      </c>
      <c r="BP27" s="85">
        <v>1587.7</v>
      </c>
      <c r="BQ27" s="109"/>
      <c r="BR27" s="85">
        <v>3514.4</v>
      </c>
      <c r="BS27" s="85">
        <v>1801.6</v>
      </c>
      <c r="BT27" s="109"/>
      <c r="BU27" s="85">
        <v>4126</v>
      </c>
      <c r="BV27" s="85">
        <v>3024.1</v>
      </c>
      <c r="BW27" s="85"/>
      <c r="BX27" s="85">
        <v>3276.1</v>
      </c>
      <c r="BY27" s="85">
        <v>1685</v>
      </c>
      <c r="BZ27" s="85"/>
      <c r="CA27" s="85">
        <v>3061.1370000000002</v>
      </c>
      <c r="CB27" s="85">
        <v>1674.2919999999999</v>
      </c>
      <c r="CC27" s="85"/>
      <c r="CD27" s="173">
        <v>2955.4</v>
      </c>
      <c r="CE27" s="173">
        <v>2329.0050000000001</v>
      </c>
      <c r="CF27" s="173"/>
      <c r="CG27" s="173">
        <v>4306.9279999999999</v>
      </c>
      <c r="CH27" s="173">
        <v>2849.2530000000002</v>
      </c>
      <c r="CI27" s="173"/>
      <c r="CJ27" s="173">
        <v>5042.817</v>
      </c>
      <c r="CK27" s="173">
        <v>3341.5479999999998</v>
      </c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</row>
    <row r="28" spans="2:105" s="134" customFormat="1" ht="21" customHeight="1">
      <c r="B28" s="145"/>
      <c r="C28" s="146" t="s">
        <v>76</v>
      </c>
      <c r="D28" s="147">
        <v>1.8</v>
      </c>
      <c r="E28" s="148">
        <v>0.3</v>
      </c>
      <c r="F28" s="148"/>
      <c r="G28" s="148">
        <v>0</v>
      </c>
      <c r="H28" s="148">
        <v>0.7</v>
      </c>
      <c r="I28" s="148"/>
      <c r="J28" s="148">
        <v>0.3</v>
      </c>
      <c r="K28" s="148">
        <v>0.5</v>
      </c>
      <c r="L28" s="148"/>
      <c r="M28" s="148">
        <v>0.3</v>
      </c>
      <c r="N28" s="148">
        <v>0.7</v>
      </c>
      <c r="O28" s="148"/>
      <c r="P28" s="148">
        <v>0.6</v>
      </c>
      <c r="Q28" s="148">
        <v>1.6</v>
      </c>
      <c r="R28" s="148"/>
      <c r="S28" s="148">
        <v>0</v>
      </c>
      <c r="T28" s="148">
        <v>1.6</v>
      </c>
      <c r="U28" s="148"/>
      <c r="V28" s="148">
        <v>0.1</v>
      </c>
      <c r="W28" s="148">
        <v>1.1000000000000001</v>
      </c>
      <c r="X28" s="148"/>
      <c r="Y28" s="148">
        <v>0.4</v>
      </c>
      <c r="Z28" s="148">
        <v>3.9</v>
      </c>
      <c r="AA28" s="148"/>
      <c r="AB28" s="148">
        <v>1</v>
      </c>
      <c r="AC28" s="148">
        <v>2.4</v>
      </c>
      <c r="AD28" s="148"/>
      <c r="AE28" s="148">
        <v>0</v>
      </c>
      <c r="AF28" s="148">
        <v>2</v>
      </c>
      <c r="AG28" s="149"/>
      <c r="AH28" s="148">
        <v>0.1</v>
      </c>
      <c r="AI28" s="148">
        <v>2.6</v>
      </c>
      <c r="AJ28" s="148"/>
      <c r="AK28" s="148">
        <v>3.7</v>
      </c>
      <c r="AL28" s="148">
        <v>2.7</v>
      </c>
      <c r="AM28" s="149"/>
      <c r="AN28" s="148">
        <v>9.9</v>
      </c>
      <c r="AO28" s="148">
        <v>2.1</v>
      </c>
      <c r="AP28" s="149"/>
      <c r="AQ28" s="148">
        <v>7.3</v>
      </c>
      <c r="AR28" s="148">
        <v>3.1</v>
      </c>
      <c r="AS28" s="149"/>
      <c r="AT28" s="148">
        <v>1.3</v>
      </c>
      <c r="AU28" s="148">
        <v>2</v>
      </c>
      <c r="AV28" s="149"/>
      <c r="AW28" s="148">
        <v>0.1</v>
      </c>
      <c r="AX28" s="148">
        <v>2.5</v>
      </c>
      <c r="AY28" s="148"/>
      <c r="AZ28" s="148">
        <v>0.5</v>
      </c>
      <c r="BA28" s="148">
        <v>2</v>
      </c>
      <c r="BB28" s="148"/>
      <c r="BC28" s="148">
        <v>0.2</v>
      </c>
      <c r="BD28" s="148">
        <v>6.3</v>
      </c>
      <c r="BE28" s="148"/>
      <c r="BF28" s="148">
        <v>0.3</v>
      </c>
      <c r="BG28" s="148">
        <v>13.2</v>
      </c>
      <c r="BH28" s="150"/>
      <c r="BI28" s="151">
        <v>0.5</v>
      </c>
      <c r="BJ28" s="148">
        <v>9.1999999999999993</v>
      </c>
      <c r="BK28" s="148"/>
      <c r="BL28" s="148">
        <v>1.1000000000000001</v>
      </c>
      <c r="BM28" s="148">
        <v>25.5</v>
      </c>
      <c r="BN28" s="148"/>
      <c r="BO28" s="148">
        <v>4.8</v>
      </c>
      <c r="BP28" s="148">
        <v>30.8</v>
      </c>
      <c r="BQ28" s="152"/>
      <c r="BR28" s="148">
        <v>6</v>
      </c>
      <c r="BS28" s="148">
        <v>9.9</v>
      </c>
      <c r="BT28" s="152"/>
      <c r="BU28" s="148">
        <v>16.399999999999999</v>
      </c>
      <c r="BV28" s="148">
        <v>36.9</v>
      </c>
      <c r="BW28" s="148"/>
      <c r="BX28" s="148">
        <v>16</v>
      </c>
      <c r="BY28" s="148">
        <v>10.9</v>
      </c>
      <c r="BZ28" s="148"/>
      <c r="CA28" s="148">
        <v>2.2999999999999998</v>
      </c>
      <c r="CB28" s="148">
        <v>8.9</v>
      </c>
      <c r="CC28" s="148"/>
      <c r="CD28" s="148">
        <v>3.0569999999999999</v>
      </c>
      <c r="CE28" s="148">
        <v>4.5519999999999996</v>
      </c>
      <c r="CF28" s="148"/>
      <c r="CG28" s="148">
        <v>25.251999999999999</v>
      </c>
      <c r="CH28" s="148">
        <v>3.7509999999999999</v>
      </c>
      <c r="CI28" s="148"/>
      <c r="CJ28" s="148">
        <v>99.980999999999995</v>
      </c>
      <c r="CK28" s="148">
        <v>2.1549999999999998</v>
      </c>
    </row>
    <row r="29" spans="2:105" s="134" customFormat="1" ht="21" customHeight="1">
      <c r="B29" s="145"/>
      <c r="C29" s="146" t="s">
        <v>77</v>
      </c>
      <c r="D29" s="147">
        <v>0</v>
      </c>
      <c r="E29" s="148">
        <v>0</v>
      </c>
      <c r="F29" s="148"/>
      <c r="G29" s="148">
        <v>0</v>
      </c>
      <c r="H29" s="148">
        <v>0</v>
      </c>
      <c r="I29" s="148"/>
      <c r="J29" s="148">
        <v>0</v>
      </c>
      <c r="K29" s="148">
        <v>0</v>
      </c>
      <c r="L29" s="148"/>
      <c r="M29" s="148">
        <v>0</v>
      </c>
      <c r="N29" s="148">
        <v>0</v>
      </c>
      <c r="O29" s="148"/>
      <c r="P29" s="148">
        <v>0</v>
      </c>
      <c r="Q29" s="148">
        <v>0</v>
      </c>
      <c r="R29" s="148"/>
      <c r="S29" s="148">
        <v>0</v>
      </c>
      <c r="T29" s="148">
        <v>0</v>
      </c>
      <c r="U29" s="148"/>
      <c r="V29" s="148">
        <v>0</v>
      </c>
      <c r="W29" s="148">
        <v>0</v>
      </c>
      <c r="X29" s="148"/>
      <c r="Y29" s="148">
        <v>0</v>
      </c>
      <c r="Z29" s="148">
        <v>0</v>
      </c>
      <c r="AA29" s="148"/>
      <c r="AB29" s="148">
        <v>0</v>
      </c>
      <c r="AC29" s="148">
        <v>0</v>
      </c>
      <c r="AD29" s="148"/>
      <c r="AE29" s="148">
        <v>0</v>
      </c>
      <c r="AF29" s="148">
        <v>0</v>
      </c>
      <c r="AG29" s="149"/>
      <c r="AH29" s="148">
        <v>0</v>
      </c>
      <c r="AI29" s="148">
        <v>0</v>
      </c>
      <c r="AJ29" s="148"/>
      <c r="AK29" s="148">
        <v>0</v>
      </c>
      <c r="AL29" s="148">
        <v>0</v>
      </c>
      <c r="AM29" s="149"/>
      <c r="AN29" s="148">
        <v>0</v>
      </c>
      <c r="AO29" s="148">
        <v>0</v>
      </c>
      <c r="AP29" s="149"/>
      <c r="AQ29" s="148">
        <v>0</v>
      </c>
      <c r="AR29" s="148">
        <v>0</v>
      </c>
      <c r="AS29" s="149"/>
      <c r="AT29" s="148">
        <v>0</v>
      </c>
      <c r="AU29" s="148">
        <v>0</v>
      </c>
      <c r="AV29" s="149"/>
      <c r="AW29" s="148">
        <v>0</v>
      </c>
      <c r="AX29" s="148">
        <v>0</v>
      </c>
      <c r="AY29" s="148"/>
      <c r="AZ29" s="148">
        <v>0</v>
      </c>
      <c r="BA29" s="148">
        <v>0</v>
      </c>
      <c r="BB29" s="148"/>
      <c r="BC29" s="148">
        <v>0</v>
      </c>
      <c r="BD29" s="148">
        <v>0</v>
      </c>
      <c r="BE29" s="148"/>
      <c r="BF29" s="148">
        <v>0</v>
      </c>
      <c r="BG29" s="148">
        <v>0</v>
      </c>
      <c r="BH29" s="150"/>
      <c r="BI29" s="151">
        <v>0</v>
      </c>
      <c r="BJ29" s="148">
        <v>0</v>
      </c>
      <c r="BK29" s="148"/>
      <c r="BL29" s="148">
        <v>238.4</v>
      </c>
      <c r="BM29" s="148">
        <v>0</v>
      </c>
      <c r="BN29" s="148"/>
      <c r="BO29" s="148">
        <v>0</v>
      </c>
      <c r="BP29" s="148">
        <v>0</v>
      </c>
      <c r="BQ29" s="152"/>
      <c r="BR29" s="148">
        <v>0</v>
      </c>
      <c r="BS29" s="148">
        <v>0</v>
      </c>
      <c r="BT29" s="152"/>
      <c r="BU29" s="148">
        <v>0.8</v>
      </c>
      <c r="BV29" s="148">
        <v>0</v>
      </c>
      <c r="BW29" s="148"/>
      <c r="BX29" s="148">
        <v>0.7</v>
      </c>
      <c r="BY29" s="148">
        <v>0</v>
      </c>
      <c r="BZ29" s="148"/>
      <c r="CA29" s="148">
        <v>0</v>
      </c>
      <c r="CB29" s="148">
        <v>0</v>
      </c>
      <c r="CC29" s="148"/>
      <c r="CD29" s="148">
        <v>1.585</v>
      </c>
      <c r="CE29" s="148">
        <v>32.491999999999997</v>
      </c>
      <c r="CF29" s="148"/>
      <c r="CG29" s="148">
        <v>2.4950000000000001</v>
      </c>
      <c r="CH29" s="148">
        <v>1.6E-2</v>
      </c>
      <c r="CI29" s="148"/>
      <c r="CJ29" s="148">
        <v>0</v>
      </c>
      <c r="CK29" s="148">
        <v>372.67</v>
      </c>
    </row>
    <row r="30" spans="2:105" s="134" customFormat="1" ht="21" customHeight="1">
      <c r="B30" s="145"/>
      <c r="C30" s="146" t="s">
        <v>78</v>
      </c>
      <c r="D30" s="147">
        <v>0</v>
      </c>
      <c r="E30" s="148">
        <v>0</v>
      </c>
      <c r="F30" s="148"/>
      <c r="G30" s="148">
        <v>0</v>
      </c>
      <c r="H30" s="148">
        <v>0</v>
      </c>
      <c r="I30" s="148"/>
      <c r="J30" s="148">
        <v>0</v>
      </c>
      <c r="K30" s="148">
        <v>0</v>
      </c>
      <c r="L30" s="148"/>
      <c r="M30" s="148">
        <v>0</v>
      </c>
      <c r="N30" s="148">
        <v>0</v>
      </c>
      <c r="O30" s="148"/>
      <c r="P30" s="148">
        <v>0</v>
      </c>
      <c r="Q30" s="148">
        <v>0</v>
      </c>
      <c r="R30" s="148"/>
      <c r="S30" s="148">
        <v>0</v>
      </c>
      <c r="T30" s="148">
        <v>0.1</v>
      </c>
      <c r="U30" s="148"/>
      <c r="V30" s="148">
        <v>0</v>
      </c>
      <c r="W30" s="148">
        <v>0</v>
      </c>
      <c r="X30" s="148"/>
      <c r="Y30" s="148">
        <v>0</v>
      </c>
      <c r="Z30" s="148">
        <v>0</v>
      </c>
      <c r="AA30" s="148"/>
      <c r="AB30" s="148">
        <v>0</v>
      </c>
      <c r="AC30" s="148">
        <v>0</v>
      </c>
      <c r="AD30" s="148"/>
      <c r="AE30" s="148">
        <v>0</v>
      </c>
      <c r="AF30" s="148">
        <v>0</v>
      </c>
      <c r="AG30" s="149"/>
      <c r="AH30" s="148">
        <v>0</v>
      </c>
      <c r="AI30" s="148">
        <v>0</v>
      </c>
      <c r="AJ30" s="148"/>
      <c r="AK30" s="148">
        <v>0</v>
      </c>
      <c r="AL30" s="148">
        <v>0</v>
      </c>
      <c r="AM30" s="149"/>
      <c r="AN30" s="148">
        <v>0</v>
      </c>
      <c r="AO30" s="148">
        <v>0</v>
      </c>
      <c r="AP30" s="149"/>
      <c r="AQ30" s="148">
        <v>0</v>
      </c>
      <c r="AR30" s="148">
        <v>0</v>
      </c>
      <c r="AS30" s="149"/>
      <c r="AT30" s="148">
        <v>0</v>
      </c>
      <c r="AU30" s="148">
        <v>0</v>
      </c>
      <c r="AV30" s="149"/>
      <c r="AW30" s="148">
        <v>0</v>
      </c>
      <c r="AX30" s="148">
        <v>0</v>
      </c>
      <c r="AY30" s="148"/>
      <c r="AZ30" s="148">
        <v>0</v>
      </c>
      <c r="BA30" s="148">
        <v>0</v>
      </c>
      <c r="BB30" s="148"/>
      <c r="BC30" s="148">
        <v>0</v>
      </c>
      <c r="BD30" s="148">
        <v>0</v>
      </c>
      <c r="BE30" s="148"/>
      <c r="BF30" s="148">
        <v>0</v>
      </c>
      <c r="BG30" s="148">
        <v>0.1</v>
      </c>
      <c r="BH30" s="150"/>
      <c r="BI30" s="151">
        <v>173.8</v>
      </c>
      <c r="BJ30" s="148">
        <v>0</v>
      </c>
      <c r="BK30" s="148"/>
      <c r="BL30" s="148">
        <v>225.3</v>
      </c>
      <c r="BM30" s="148">
        <v>166.3</v>
      </c>
      <c r="BN30" s="148"/>
      <c r="BO30" s="148">
        <v>0</v>
      </c>
      <c r="BP30" s="148">
        <v>0.1</v>
      </c>
      <c r="BQ30" s="152"/>
      <c r="BR30" s="148">
        <v>0</v>
      </c>
      <c r="BS30" s="148">
        <v>27.2</v>
      </c>
      <c r="BT30" s="152"/>
      <c r="BU30" s="148">
        <v>305.7</v>
      </c>
      <c r="BV30" s="148">
        <v>634.20000000000005</v>
      </c>
      <c r="BW30" s="148"/>
      <c r="BX30" s="148">
        <v>0</v>
      </c>
      <c r="BY30" s="148">
        <v>0</v>
      </c>
      <c r="BZ30" s="148"/>
      <c r="CA30" s="148">
        <v>221.8</v>
      </c>
      <c r="CB30" s="148">
        <v>0</v>
      </c>
      <c r="CC30" s="148"/>
      <c r="CD30" s="148">
        <v>152.84800000000001</v>
      </c>
      <c r="CE30" s="148">
        <v>51.268000000000001</v>
      </c>
      <c r="CF30" s="148"/>
      <c r="CG30" s="148">
        <v>2E-3</v>
      </c>
      <c r="CH30" s="148">
        <v>0.996</v>
      </c>
      <c r="CI30" s="148"/>
      <c r="CJ30" s="148">
        <v>158.84399999999999</v>
      </c>
      <c r="CK30" s="148">
        <v>1E-3</v>
      </c>
    </row>
    <row r="31" spans="2:105" s="134" customFormat="1" ht="21" customHeight="1">
      <c r="B31" s="153"/>
      <c r="C31" s="154" t="s">
        <v>25</v>
      </c>
      <c r="D31" s="155">
        <v>53.932000000000002</v>
      </c>
      <c r="E31" s="156">
        <v>0.83599999999999997</v>
      </c>
      <c r="F31" s="156"/>
      <c r="G31" s="156">
        <f>47175/1000</f>
        <v>47.174999999999997</v>
      </c>
      <c r="H31" s="156">
        <v>0.24</v>
      </c>
      <c r="I31" s="156"/>
      <c r="J31" s="156">
        <f>52641/1000</f>
        <v>52.640999999999998</v>
      </c>
      <c r="K31" s="156">
        <v>0.31900000000000001</v>
      </c>
      <c r="L31" s="156"/>
      <c r="M31" s="156">
        <v>70.992999999999995</v>
      </c>
      <c r="N31" s="156">
        <v>7.0000000000000007E-2</v>
      </c>
      <c r="O31" s="156"/>
      <c r="P31" s="156">
        <f>93151/1000</f>
        <v>93.150999999999996</v>
      </c>
      <c r="Q31" s="156">
        <v>0.23699999999999999</v>
      </c>
      <c r="R31" s="156"/>
      <c r="S31" s="156">
        <f>141762/1000</f>
        <v>141.762</v>
      </c>
      <c r="T31" s="156">
        <v>0.68600000000000005</v>
      </c>
      <c r="U31" s="156"/>
      <c r="V31" s="156">
        <f>155549/1000</f>
        <v>155.54900000000001</v>
      </c>
      <c r="W31" s="156">
        <v>0.83799999999999997</v>
      </c>
      <c r="X31" s="156"/>
      <c r="Y31" s="156">
        <f>170228/1000</f>
        <v>170.22800000000001</v>
      </c>
      <c r="Z31" s="156">
        <v>0.80800000000000005</v>
      </c>
      <c r="AA31" s="156"/>
      <c r="AB31" s="156">
        <f>193021/1000</f>
        <v>193.02099999999999</v>
      </c>
      <c r="AC31" s="156">
        <v>0.92100000000000004</v>
      </c>
      <c r="AD31" s="156"/>
      <c r="AE31" s="156">
        <f>185729/1000</f>
        <v>185.72900000000001</v>
      </c>
      <c r="AF31" s="156">
        <v>2.129</v>
      </c>
      <c r="AG31" s="156"/>
      <c r="AH31" s="156">
        <v>193.839</v>
      </c>
      <c r="AI31" s="156">
        <v>11.912000000000001</v>
      </c>
      <c r="AJ31" s="156"/>
      <c r="AK31" s="156">
        <v>229.62899999999999</v>
      </c>
      <c r="AL31" s="156">
        <v>8.68</v>
      </c>
      <c r="AM31" s="157"/>
      <c r="AN31" s="156">
        <v>334.16699999999997</v>
      </c>
      <c r="AO31" s="156">
        <v>7.5430000000000001</v>
      </c>
      <c r="AP31" s="157"/>
      <c r="AQ31" s="156">
        <v>389.89</v>
      </c>
      <c r="AR31" s="156">
        <v>7.3769999999999998</v>
      </c>
      <c r="AS31" s="157"/>
      <c r="AT31" s="156">
        <v>310.40899999999999</v>
      </c>
      <c r="AU31" s="156">
        <v>11.48</v>
      </c>
      <c r="AV31" s="157"/>
      <c r="AW31" s="156">
        <v>342.92500000000001</v>
      </c>
      <c r="AX31" s="156">
        <v>15.656000000000001</v>
      </c>
      <c r="AY31" s="156"/>
      <c r="AZ31" s="156">
        <v>300.31799999999998</v>
      </c>
      <c r="BA31" s="156">
        <v>18.957999999999998</v>
      </c>
      <c r="BB31" s="156"/>
      <c r="BC31" s="156">
        <v>264.3</v>
      </c>
      <c r="BD31" s="156">
        <v>28.1</v>
      </c>
      <c r="BE31" s="156"/>
      <c r="BF31" s="156">
        <v>206.3</v>
      </c>
      <c r="BG31" s="156">
        <v>32.9</v>
      </c>
      <c r="BH31" s="158"/>
      <c r="BI31" s="159">
        <v>595.9</v>
      </c>
      <c r="BJ31" s="156">
        <v>39.299999999999997</v>
      </c>
      <c r="BK31" s="156"/>
      <c r="BL31" s="156">
        <v>344.4</v>
      </c>
      <c r="BM31" s="156">
        <v>38.700000000000003</v>
      </c>
      <c r="BN31" s="156"/>
      <c r="BO31" s="156">
        <v>547.1</v>
      </c>
      <c r="BP31" s="156">
        <v>43.1</v>
      </c>
      <c r="BQ31" s="160"/>
      <c r="BR31" s="156">
        <v>587.70000000000005</v>
      </c>
      <c r="BS31" s="156">
        <v>62.1</v>
      </c>
      <c r="BT31" s="160"/>
      <c r="BU31" s="156">
        <v>389.5</v>
      </c>
      <c r="BV31" s="156">
        <v>64.2</v>
      </c>
      <c r="BW31" s="156"/>
      <c r="BX31" s="156">
        <v>411.9</v>
      </c>
      <c r="BY31" s="156">
        <v>34.4</v>
      </c>
      <c r="BZ31" s="156"/>
      <c r="CA31" s="156">
        <v>449.79599999999999</v>
      </c>
      <c r="CB31" s="156">
        <v>87.296999999999997</v>
      </c>
      <c r="CC31" s="156"/>
      <c r="CD31" s="156">
        <v>431.089</v>
      </c>
      <c r="CE31" s="156">
        <v>51.704999999999998</v>
      </c>
      <c r="CF31" s="156"/>
      <c r="CG31" s="156">
        <v>899.33600000000001</v>
      </c>
      <c r="CH31" s="156">
        <v>24.946000000000002</v>
      </c>
      <c r="CI31" s="156"/>
      <c r="CJ31" s="156">
        <v>768.27599999999995</v>
      </c>
      <c r="CK31" s="156">
        <v>25.507000000000001</v>
      </c>
    </row>
    <row r="32" spans="2:105" s="134" customFormat="1" ht="21" customHeight="1">
      <c r="B32" s="153"/>
      <c r="C32" s="154" t="s">
        <v>67</v>
      </c>
      <c r="D32" s="155">
        <v>12.1</v>
      </c>
      <c r="E32" s="156">
        <v>21.6</v>
      </c>
      <c r="F32" s="156"/>
      <c r="G32" s="156">
        <v>52.8</v>
      </c>
      <c r="H32" s="156">
        <v>27.1</v>
      </c>
      <c r="I32" s="156"/>
      <c r="J32" s="156">
        <v>13.8</v>
      </c>
      <c r="K32" s="156">
        <v>28.6</v>
      </c>
      <c r="L32" s="156"/>
      <c r="M32" s="156">
        <v>32.5</v>
      </c>
      <c r="N32" s="156">
        <v>32.6</v>
      </c>
      <c r="O32" s="156"/>
      <c r="P32" s="156">
        <v>81.400000000000006</v>
      </c>
      <c r="Q32" s="156">
        <v>22.5</v>
      </c>
      <c r="R32" s="156"/>
      <c r="S32" s="156">
        <v>31.3</v>
      </c>
      <c r="T32" s="156">
        <v>25.9</v>
      </c>
      <c r="U32" s="156"/>
      <c r="V32" s="156">
        <v>11.4</v>
      </c>
      <c r="W32" s="156">
        <v>28.7</v>
      </c>
      <c r="X32" s="156"/>
      <c r="Y32" s="156">
        <v>22.5</v>
      </c>
      <c r="Z32" s="156">
        <v>25.3</v>
      </c>
      <c r="AA32" s="156"/>
      <c r="AB32" s="156">
        <v>20</v>
      </c>
      <c r="AC32" s="156">
        <v>20.2</v>
      </c>
      <c r="AD32" s="156"/>
      <c r="AE32" s="156">
        <v>42.4</v>
      </c>
      <c r="AF32" s="156">
        <v>5.9</v>
      </c>
      <c r="AG32" s="156"/>
      <c r="AH32" s="156">
        <v>51.4</v>
      </c>
      <c r="AI32" s="156">
        <v>8</v>
      </c>
      <c r="AJ32" s="156"/>
      <c r="AK32" s="156">
        <v>74.900000000000006</v>
      </c>
      <c r="AL32" s="156">
        <v>10.4</v>
      </c>
      <c r="AM32" s="157"/>
      <c r="AN32" s="156">
        <v>75.400000000000006</v>
      </c>
      <c r="AO32" s="156">
        <v>14.3</v>
      </c>
      <c r="AP32" s="157"/>
      <c r="AQ32" s="156">
        <v>57.8</v>
      </c>
      <c r="AR32" s="156">
        <v>17.600000000000001</v>
      </c>
      <c r="AS32" s="157"/>
      <c r="AT32" s="156">
        <v>57.3</v>
      </c>
      <c r="AU32" s="156">
        <v>24.7</v>
      </c>
      <c r="AV32" s="157"/>
      <c r="AW32" s="156">
        <v>60</v>
      </c>
      <c r="AX32" s="156">
        <v>20</v>
      </c>
      <c r="AY32" s="156"/>
      <c r="AZ32" s="156">
        <v>71.900000000000006</v>
      </c>
      <c r="BA32" s="156">
        <v>24.2</v>
      </c>
      <c r="BB32" s="156"/>
      <c r="BC32" s="156">
        <v>31</v>
      </c>
      <c r="BD32" s="156">
        <v>21.1</v>
      </c>
      <c r="BE32" s="156"/>
      <c r="BF32" s="156">
        <v>31</v>
      </c>
      <c r="BG32" s="156">
        <v>36.6</v>
      </c>
      <c r="BH32" s="158"/>
      <c r="BI32" s="159">
        <v>28.3</v>
      </c>
      <c r="BJ32" s="156">
        <v>34.799999999999997</v>
      </c>
      <c r="BK32" s="156"/>
      <c r="BL32" s="156">
        <v>20.6</v>
      </c>
      <c r="BM32" s="156">
        <v>68.900000000000006</v>
      </c>
      <c r="BN32" s="156"/>
      <c r="BO32" s="156">
        <v>27.3</v>
      </c>
      <c r="BP32" s="156">
        <v>45.4</v>
      </c>
      <c r="BQ32" s="160"/>
      <c r="BR32" s="156">
        <v>48.9</v>
      </c>
      <c r="BS32" s="156">
        <v>63.1</v>
      </c>
      <c r="BT32" s="160"/>
      <c r="BU32" s="156">
        <v>31.2</v>
      </c>
      <c r="BV32" s="156">
        <v>162.6</v>
      </c>
      <c r="BW32" s="156"/>
      <c r="BX32" s="156">
        <v>30.8</v>
      </c>
      <c r="BY32" s="156">
        <v>16.399999999999999</v>
      </c>
      <c r="BZ32" s="156"/>
      <c r="CA32" s="156">
        <v>25.3</v>
      </c>
      <c r="CB32" s="156">
        <v>8.6999999999999993</v>
      </c>
      <c r="CC32" s="156"/>
      <c r="CD32" s="156">
        <v>38.700000000000003</v>
      </c>
      <c r="CE32" s="156">
        <v>22.8</v>
      </c>
      <c r="CF32" s="156"/>
      <c r="CG32" s="156">
        <v>68.959999999999994</v>
      </c>
      <c r="CH32" s="156">
        <v>16.405000000000001</v>
      </c>
      <c r="CI32" s="156"/>
      <c r="CJ32" s="156">
        <v>88.796000000000006</v>
      </c>
      <c r="CK32" s="156">
        <v>10.148</v>
      </c>
    </row>
    <row r="33" spans="2:105" s="134" customFormat="1" ht="21" customHeight="1">
      <c r="B33" s="153"/>
      <c r="C33" s="154" t="s">
        <v>44</v>
      </c>
      <c r="D33" s="155">
        <v>16.899999999999999</v>
      </c>
      <c r="E33" s="156">
        <v>6.7</v>
      </c>
      <c r="F33" s="156"/>
      <c r="G33" s="156">
        <v>17.2</v>
      </c>
      <c r="H33" s="156">
        <v>7.3</v>
      </c>
      <c r="I33" s="156"/>
      <c r="J33" s="156">
        <v>22</v>
      </c>
      <c r="K33" s="156">
        <v>12.9</v>
      </c>
      <c r="L33" s="156"/>
      <c r="M33" s="156">
        <v>25.2</v>
      </c>
      <c r="N33" s="156">
        <v>3.7</v>
      </c>
      <c r="O33" s="156"/>
      <c r="P33" s="156">
        <v>29.3</v>
      </c>
      <c r="Q33" s="156">
        <v>5.7</v>
      </c>
      <c r="R33" s="156"/>
      <c r="S33" s="156">
        <v>31.5</v>
      </c>
      <c r="T33" s="156">
        <v>5.3</v>
      </c>
      <c r="U33" s="156"/>
      <c r="V33" s="156">
        <v>31</v>
      </c>
      <c r="W33" s="156">
        <v>4.7</v>
      </c>
      <c r="X33" s="156"/>
      <c r="Y33" s="156">
        <v>33.1</v>
      </c>
      <c r="Z33" s="156">
        <v>4.5999999999999996</v>
      </c>
      <c r="AA33" s="156"/>
      <c r="AB33" s="156">
        <v>31.4</v>
      </c>
      <c r="AC33" s="156">
        <v>5.2</v>
      </c>
      <c r="AD33" s="156"/>
      <c r="AE33" s="156">
        <v>29</v>
      </c>
      <c r="AF33" s="156">
        <v>5.5</v>
      </c>
      <c r="AG33" s="156"/>
      <c r="AH33" s="156">
        <v>21.1</v>
      </c>
      <c r="AI33" s="156">
        <v>5.6</v>
      </c>
      <c r="AJ33" s="156"/>
      <c r="AK33" s="156">
        <v>19.2</v>
      </c>
      <c r="AL33" s="156">
        <v>5.4</v>
      </c>
      <c r="AM33" s="157"/>
      <c r="AN33" s="156">
        <v>21.6</v>
      </c>
      <c r="AO33" s="156">
        <v>5.5</v>
      </c>
      <c r="AP33" s="157"/>
      <c r="AQ33" s="156">
        <v>22.9</v>
      </c>
      <c r="AR33" s="156">
        <v>6.7</v>
      </c>
      <c r="AS33" s="157"/>
      <c r="AT33" s="156">
        <v>15.9</v>
      </c>
      <c r="AU33" s="156">
        <v>9.3000000000000007</v>
      </c>
      <c r="AV33" s="157"/>
      <c r="AW33" s="156">
        <v>15.2</v>
      </c>
      <c r="AX33" s="156">
        <v>11.7</v>
      </c>
      <c r="AY33" s="156"/>
      <c r="AZ33" s="156">
        <v>14.7</v>
      </c>
      <c r="BA33" s="156">
        <v>20.399999999999999</v>
      </c>
      <c r="BB33" s="156"/>
      <c r="BC33" s="156">
        <v>13.6</v>
      </c>
      <c r="BD33" s="156">
        <v>23.3</v>
      </c>
      <c r="BE33" s="156"/>
      <c r="BF33" s="156">
        <v>11.1</v>
      </c>
      <c r="BG33" s="156">
        <v>26</v>
      </c>
      <c r="BH33" s="158"/>
      <c r="BI33" s="159">
        <v>12.7</v>
      </c>
      <c r="BJ33" s="156">
        <v>24.5</v>
      </c>
      <c r="BK33" s="156"/>
      <c r="BL33" s="156">
        <v>13.3</v>
      </c>
      <c r="BM33" s="156">
        <v>24.3</v>
      </c>
      <c r="BN33" s="156"/>
      <c r="BO33" s="156">
        <v>16.100000000000001</v>
      </c>
      <c r="BP33" s="156">
        <v>31.8</v>
      </c>
      <c r="BQ33" s="160"/>
      <c r="BR33" s="156">
        <v>23.6</v>
      </c>
      <c r="BS33" s="156">
        <v>25.3</v>
      </c>
      <c r="BT33" s="160"/>
      <c r="BU33" s="156">
        <v>178.8</v>
      </c>
      <c r="BV33" s="156">
        <v>139.30000000000001</v>
      </c>
      <c r="BW33" s="156"/>
      <c r="BX33" s="156">
        <v>37.799999999999997</v>
      </c>
      <c r="BY33" s="156">
        <v>80.8</v>
      </c>
      <c r="BZ33" s="156"/>
      <c r="CA33" s="156">
        <v>14.228999999999999</v>
      </c>
      <c r="CB33" s="156">
        <v>52.848999999999997</v>
      </c>
      <c r="CC33" s="156"/>
      <c r="CD33" s="156">
        <v>41.938000000000002</v>
      </c>
      <c r="CE33" s="156">
        <v>50.344999999999999</v>
      </c>
      <c r="CF33" s="156"/>
      <c r="CG33" s="156">
        <v>30.247</v>
      </c>
      <c r="CH33" s="156">
        <v>448.34300000000002</v>
      </c>
      <c r="CI33" s="156"/>
      <c r="CJ33" s="156">
        <v>28.568999999999999</v>
      </c>
      <c r="CK33" s="156">
        <v>161.036</v>
      </c>
    </row>
    <row r="34" spans="2:105" s="134" customFormat="1" ht="21" customHeight="1">
      <c r="B34" s="161"/>
      <c r="C34" s="154" t="s">
        <v>36</v>
      </c>
      <c r="D34" s="155">
        <v>22.6</v>
      </c>
      <c r="E34" s="156">
        <v>1.1000000000000001</v>
      </c>
      <c r="F34" s="156"/>
      <c r="G34" s="156">
        <v>22.3</v>
      </c>
      <c r="H34" s="156">
        <v>1</v>
      </c>
      <c r="I34" s="156"/>
      <c r="J34" s="156">
        <v>23.7</v>
      </c>
      <c r="K34" s="156">
        <v>1</v>
      </c>
      <c r="L34" s="156"/>
      <c r="M34" s="156">
        <v>23.7</v>
      </c>
      <c r="N34" s="156">
        <v>0.6</v>
      </c>
      <c r="O34" s="156"/>
      <c r="P34" s="156">
        <v>27.4</v>
      </c>
      <c r="Q34" s="156">
        <v>0.8</v>
      </c>
      <c r="R34" s="156"/>
      <c r="S34" s="156">
        <v>33.5</v>
      </c>
      <c r="T34" s="156">
        <v>1.6</v>
      </c>
      <c r="U34" s="156"/>
      <c r="V34" s="156">
        <v>36.6</v>
      </c>
      <c r="W34" s="156">
        <v>2.6</v>
      </c>
      <c r="X34" s="156"/>
      <c r="Y34" s="156">
        <v>32.1</v>
      </c>
      <c r="Z34" s="156">
        <v>1.9</v>
      </c>
      <c r="AA34" s="156"/>
      <c r="AB34" s="156">
        <v>29.5</v>
      </c>
      <c r="AC34" s="156">
        <v>2.2000000000000002</v>
      </c>
      <c r="AD34" s="156"/>
      <c r="AE34" s="156">
        <v>31</v>
      </c>
      <c r="AF34" s="156">
        <v>4.2</v>
      </c>
      <c r="AG34" s="156"/>
      <c r="AH34" s="156">
        <v>28.4</v>
      </c>
      <c r="AI34" s="156">
        <v>2.9</v>
      </c>
      <c r="AJ34" s="156"/>
      <c r="AK34" s="156">
        <v>34.5</v>
      </c>
      <c r="AL34" s="156">
        <v>4.4000000000000004</v>
      </c>
      <c r="AM34" s="157"/>
      <c r="AN34" s="156">
        <v>35.700000000000003</v>
      </c>
      <c r="AO34" s="156">
        <v>4.0999999999999996</v>
      </c>
      <c r="AP34" s="157"/>
      <c r="AQ34" s="156">
        <v>47.1</v>
      </c>
      <c r="AR34" s="156">
        <v>7.3</v>
      </c>
      <c r="AS34" s="157"/>
      <c r="AT34" s="156">
        <v>44</v>
      </c>
      <c r="AU34" s="156">
        <v>8.6999999999999993</v>
      </c>
      <c r="AV34" s="157"/>
      <c r="AW34" s="156">
        <v>38.6</v>
      </c>
      <c r="AX34" s="156">
        <v>13.5</v>
      </c>
      <c r="AY34" s="156"/>
      <c r="AZ34" s="156">
        <v>53.5</v>
      </c>
      <c r="BA34" s="156">
        <v>16.3</v>
      </c>
      <c r="BB34" s="156"/>
      <c r="BC34" s="156">
        <v>54.3</v>
      </c>
      <c r="BD34" s="156">
        <v>14.6</v>
      </c>
      <c r="BE34" s="156"/>
      <c r="BF34" s="156">
        <v>42.8</v>
      </c>
      <c r="BG34" s="156">
        <v>11</v>
      </c>
      <c r="BH34" s="158"/>
      <c r="BI34" s="159">
        <v>74.5</v>
      </c>
      <c r="BJ34" s="156">
        <v>23.1</v>
      </c>
      <c r="BK34" s="156"/>
      <c r="BL34" s="156">
        <v>64.5</v>
      </c>
      <c r="BM34" s="156">
        <v>22.6</v>
      </c>
      <c r="BN34" s="156"/>
      <c r="BO34" s="156">
        <v>58.2</v>
      </c>
      <c r="BP34" s="156">
        <v>28.8</v>
      </c>
      <c r="BQ34" s="160"/>
      <c r="BR34" s="156">
        <v>73.099999999999994</v>
      </c>
      <c r="BS34" s="156">
        <v>19.2</v>
      </c>
      <c r="BT34" s="160"/>
      <c r="BU34" s="156">
        <v>58.1</v>
      </c>
      <c r="BV34" s="156">
        <v>13</v>
      </c>
      <c r="BW34" s="156"/>
      <c r="BX34" s="156">
        <v>83</v>
      </c>
      <c r="BY34" s="156">
        <v>18</v>
      </c>
      <c r="BZ34" s="156"/>
      <c r="CA34" s="156">
        <v>76.135000000000005</v>
      </c>
      <c r="CB34" s="156">
        <v>21.651</v>
      </c>
      <c r="CC34" s="156"/>
      <c r="CD34" s="156">
        <v>82.974000000000004</v>
      </c>
      <c r="CE34" s="156">
        <v>18.579999999999998</v>
      </c>
      <c r="CF34" s="156"/>
      <c r="CG34" s="156">
        <v>90.887</v>
      </c>
      <c r="CH34" s="156">
        <v>57.146999999999998</v>
      </c>
      <c r="CI34" s="156"/>
      <c r="CJ34" s="156">
        <v>106.393</v>
      </c>
      <c r="CK34" s="156">
        <v>30.068999999999999</v>
      </c>
    </row>
    <row r="35" spans="2:105" s="134" customFormat="1" ht="21" customHeight="1">
      <c r="B35" s="161"/>
      <c r="C35" s="154" t="s">
        <v>14</v>
      </c>
      <c r="D35" s="155">
        <v>41.533999999999999</v>
      </c>
      <c r="E35" s="156">
        <v>17.718</v>
      </c>
      <c r="F35" s="156"/>
      <c r="G35" s="156">
        <f>53195/1000</f>
        <v>53.195</v>
      </c>
      <c r="H35" s="156">
        <v>26.82</v>
      </c>
      <c r="I35" s="156"/>
      <c r="J35" s="156">
        <f>89921/1000</f>
        <v>89.921000000000006</v>
      </c>
      <c r="K35" s="156">
        <v>34.468000000000004</v>
      </c>
      <c r="L35" s="156"/>
      <c r="M35" s="156">
        <v>90.852000000000004</v>
      </c>
      <c r="N35" s="156">
        <v>26.364000000000001</v>
      </c>
      <c r="O35" s="156"/>
      <c r="P35" s="156">
        <f>99889/1000</f>
        <v>99.888999999999996</v>
      </c>
      <c r="Q35" s="156">
        <v>34.656999999999996</v>
      </c>
      <c r="R35" s="156"/>
      <c r="S35" s="156">
        <f>164896/1000</f>
        <v>164.89599999999999</v>
      </c>
      <c r="T35" s="156">
        <v>20.061</v>
      </c>
      <c r="U35" s="156"/>
      <c r="V35" s="156">
        <f>170361/1000</f>
        <v>170.36099999999999</v>
      </c>
      <c r="W35" s="156">
        <v>15.058</v>
      </c>
      <c r="X35" s="156"/>
      <c r="Y35" s="156">
        <f>158185/1000</f>
        <v>158.185</v>
      </c>
      <c r="Z35" s="156">
        <v>8.4440000000000008</v>
      </c>
      <c r="AA35" s="156"/>
      <c r="AB35" s="156">
        <f>149696/1000</f>
        <v>149.696</v>
      </c>
      <c r="AC35" s="156">
        <v>7.3209999999999997</v>
      </c>
      <c r="AD35" s="156"/>
      <c r="AE35" s="156">
        <f>202105/1000</f>
        <v>202.10499999999999</v>
      </c>
      <c r="AF35" s="156">
        <v>9.5120000000000005</v>
      </c>
      <c r="AG35" s="156"/>
      <c r="AH35" s="156">
        <v>355.6</v>
      </c>
      <c r="AI35" s="156">
        <v>12.863</v>
      </c>
      <c r="AJ35" s="156"/>
      <c r="AK35" s="156">
        <v>341.77300000000002</v>
      </c>
      <c r="AL35" s="156">
        <v>13.353999999999999</v>
      </c>
      <c r="AM35" s="157"/>
      <c r="AN35" s="156">
        <v>408.98700000000002</v>
      </c>
      <c r="AO35" s="156">
        <v>10.574</v>
      </c>
      <c r="AP35" s="157"/>
      <c r="AQ35" s="156">
        <v>590.20899999999995</v>
      </c>
      <c r="AR35" s="156">
        <v>13.750999999999999</v>
      </c>
      <c r="AS35" s="157"/>
      <c r="AT35" s="156">
        <v>389.13400000000001</v>
      </c>
      <c r="AU35" s="156">
        <v>16.669</v>
      </c>
      <c r="AV35" s="157"/>
      <c r="AW35" s="156">
        <v>510.35</v>
      </c>
      <c r="AX35" s="156">
        <v>21.071999999999999</v>
      </c>
      <c r="AY35" s="156"/>
      <c r="AZ35" s="156">
        <v>637.88800000000003</v>
      </c>
      <c r="BA35" s="156">
        <v>29.076000000000001</v>
      </c>
      <c r="BB35" s="156"/>
      <c r="BC35" s="156">
        <v>676</v>
      </c>
      <c r="BD35" s="156">
        <v>39.6</v>
      </c>
      <c r="BE35" s="156"/>
      <c r="BF35" s="156">
        <v>651.20000000000005</v>
      </c>
      <c r="BG35" s="156">
        <v>62</v>
      </c>
      <c r="BH35" s="158"/>
      <c r="BI35" s="159">
        <v>487.4</v>
      </c>
      <c r="BJ35" s="156">
        <v>77.3</v>
      </c>
      <c r="BK35" s="156"/>
      <c r="BL35" s="156">
        <v>279.2</v>
      </c>
      <c r="BM35" s="156">
        <v>101.7</v>
      </c>
      <c r="BN35" s="156"/>
      <c r="BO35" s="156">
        <v>232.9</v>
      </c>
      <c r="BP35" s="156">
        <v>103.8</v>
      </c>
      <c r="BQ35" s="160"/>
      <c r="BR35" s="156">
        <v>330.2</v>
      </c>
      <c r="BS35" s="156">
        <v>69.3</v>
      </c>
      <c r="BT35" s="160"/>
      <c r="BU35" s="156">
        <v>516.79999999999995</v>
      </c>
      <c r="BV35" s="156">
        <v>92</v>
      </c>
      <c r="BW35" s="156"/>
      <c r="BX35" s="156">
        <v>493.6</v>
      </c>
      <c r="BY35" s="156">
        <v>62</v>
      </c>
      <c r="BZ35" s="156"/>
      <c r="CA35" s="156">
        <v>269.97399999999999</v>
      </c>
      <c r="CB35" s="156">
        <v>91.28</v>
      </c>
      <c r="CC35" s="156"/>
      <c r="CD35" s="156">
        <v>402.82499999999999</v>
      </c>
      <c r="CE35" s="156">
        <v>89.471000000000004</v>
      </c>
      <c r="CF35" s="156"/>
      <c r="CG35" s="156">
        <v>835.71400000000006</v>
      </c>
      <c r="CH35" s="156">
        <v>102.74299999999999</v>
      </c>
      <c r="CI35" s="156"/>
      <c r="CJ35" s="156">
        <v>589.505</v>
      </c>
      <c r="CK35" s="156">
        <v>76.081999999999994</v>
      </c>
    </row>
    <row r="36" spans="2:105" s="134" customFormat="1" ht="21" customHeight="1">
      <c r="B36" s="153"/>
      <c r="C36" s="154" t="s">
        <v>15</v>
      </c>
      <c r="D36" s="155">
        <v>190.78</v>
      </c>
      <c r="E36" s="156">
        <v>1.6879999999999999</v>
      </c>
      <c r="F36" s="156"/>
      <c r="G36" s="156">
        <f>189286/1000</f>
        <v>189.286</v>
      </c>
      <c r="H36" s="156">
        <v>1.3720000000000001</v>
      </c>
      <c r="I36" s="156"/>
      <c r="J36" s="156">
        <f>171079/1000</f>
        <v>171.07900000000001</v>
      </c>
      <c r="K36" s="156">
        <v>1.34</v>
      </c>
      <c r="L36" s="156"/>
      <c r="M36" s="156">
        <v>241.25899999999999</v>
      </c>
      <c r="N36" s="156">
        <v>2.8090000000000002</v>
      </c>
      <c r="O36" s="156"/>
      <c r="P36" s="156">
        <f>226693/1000</f>
        <v>226.69300000000001</v>
      </c>
      <c r="Q36" s="156">
        <v>1.591</v>
      </c>
      <c r="R36" s="156"/>
      <c r="S36" s="156">
        <f>237585/1000</f>
        <v>237.58500000000001</v>
      </c>
      <c r="T36" s="156">
        <v>1.258</v>
      </c>
      <c r="U36" s="156"/>
      <c r="V36" s="156">
        <f>262568/1000</f>
        <v>262.56799999999998</v>
      </c>
      <c r="W36" s="156">
        <v>3.8479999999999999</v>
      </c>
      <c r="X36" s="156"/>
      <c r="Y36" s="156">
        <f>286895/1000</f>
        <v>286.89499999999998</v>
      </c>
      <c r="Z36" s="156">
        <v>1.3819999999999999</v>
      </c>
      <c r="AA36" s="156"/>
      <c r="AB36" s="156">
        <f>222032/1000</f>
        <v>222.03200000000001</v>
      </c>
      <c r="AC36" s="156">
        <v>2.206</v>
      </c>
      <c r="AD36" s="156"/>
      <c r="AE36" s="156">
        <f>217621/1000</f>
        <v>217.62100000000001</v>
      </c>
      <c r="AF36" s="156">
        <v>18.428000000000001</v>
      </c>
      <c r="AG36" s="156"/>
      <c r="AH36" s="156">
        <v>155.411</v>
      </c>
      <c r="AI36" s="156">
        <v>18.510000000000002</v>
      </c>
      <c r="AJ36" s="156"/>
      <c r="AK36" s="156">
        <v>133.453</v>
      </c>
      <c r="AL36" s="156">
        <v>12.500999999999999</v>
      </c>
      <c r="AM36" s="157"/>
      <c r="AN36" s="156">
        <v>168.24199999999999</v>
      </c>
      <c r="AO36" s="156">
        <v>14.09</v>
      </c>
      <c r="AP36" s="157"/>
      <c r="AQ36" s="156">
        <v>189.26900000000001</v>
      </c>
      <c r="AR36" s="156">
        <v>20.206</v>
      </c>
      <c r="AS36" s="157"/>
      <c r="AT36" s="156">
        <v>110.43300000000001</v>
      </c>
      <c r="AU36" s="156">
        <v>0.55300000000000005</v>
      </c>
      <c r="AV36" s="157"/>
      <c r="AW36" s="156">
        <v>68.762</v>
      </c>
      <c r="AX36" s="156">
        <v>0.504</v>
      </c>
      <c r="AY36" s="156"/>
      <c r="AZ36" s="156">
        <v>53.07</v>
      </c>
      <c r="BA36" s="156">
        <v>0.30499999999999999</v>
      </c>
      <c r="BB36" s="156"/>
      <c r="BC36" s="156">
        <v>37.4</v>
      </c>
      <c r="BD36" s="156">
        <v>0.9</v>
      </c>
      <c r="BE36" s="156"/>
      <c r="BF36" s="156">
        <v>26.4</v>
      </c>
      <c r="BG36" s="156">
        <v>0.7</v>
      </c>
      <c r="BH36" s="158"/>
      <c r="BI36" s="159">
        <v>44.8</v>
      </c>
      <c r="BJ36" s="156">
        <v>20.7</v>
      </c>
      <c r="BK36" s="156"/>
      <c r="BL36" s="156">
        <v>75.599999999999994</v>
      </c>
      <c r="BM36" s="156">
        <v>1.2</v>
      </c>
      <c r="BN36" s="156"/>
      <c r="BO36" s="156">
        <v>67.5</v>
      </c>
      <c r="BP36" s="156">
        <v>0.6</v>
      </c>
      <c r="BQ36" s="160"/>
      <c r="BR36" s="156">
        <v>69.099999999999994</v>
      </c>
      <c r="BS36" s="156">
        <v>0.9</v>
      </c>
      <c r="BT36" s="160"/>
      <c r="BU36" s="156">
        <v>77.599999999999994</v>
      </c>
      <c r="BV36" s="156">
        <v>0.6</v>
      </c>
      <c r="BW36" s="156"/>
      <c r="BX36" s="156">
        <v>95.1</v>
      </c>
      <c r="BY36" s="156">
        <v>0.9</v>
      </c>
      <c r="BZ36" s="156"/>
      <c r="CA36" s="156">
        <v>84.852000000000004</v>
      </c>
      <c r="CB36" s="156">
        <v>1.31</v>
      </c>
      <c r="CC36" s="156"/>
      <c r="CD36" s="156">
        <v>93.457999999999998</v>
      </c>
      <c r="CE36" s="156">
        <v>1.33</v>
      </c>
      <c r="CF36" s="156"/>
      <c r="CG36" s="156">
        <v>121.113</v>
      </c>
      <c r="CH36" s="156">
        <v>1.423</v>
      </c>
      <c r="CI36" s="156"/>
      <c r="CJ36" s="156">
        <v>303.43400000000003</v>
      </c>
      <c r="CK36" s="156">
        <v>1.883</v>
      </c>
    </row>
    <row r="37" spans="2:105" s="134" customFormat="1" ht="21" customHeight="1">
      <c r="B37" s="153"/>
      <c r="C37" s="154" t="s">
        <v>71</v>
      </c>
      <c r="D37" s="155">
        <v>78.2</v>
      </c>
      <c r="E37" s="156">
        <v>0.7</v>
      </c>
      <c r="F37" s="156"/>
      <c r="G37" s="156">
        <v>42.4</v>
      </c>
      <c r="H37" s="156">
        <v>1.2</v>
      </c>
      <c r="I37" s="156"/>
      <c r="J37" s="156">
        <v>36</v>
      </c>
      <c r="K37" s="156">
        <v>4.4000000000000004</v>
      </c>
      <c r="L37" s="156"/>
      <c r="M37" s="156">
        <v>37.200000000000003</v>
      </c>
      <c r="N37" s="156">
        <v>4.0999999999999996</v>
      </c>
      <c r="O37" s="156"/>
      <c r="P37" s="156">
        <v>41.4</v>
      </c>
      <c r="Q37" s="156">
        <v>2.2000000000000002</v>
      </c>
      <c r="R37" s="156"/>
      <c r="S37" s="156">
        <v>45</v>
      </c>
      <c r="T37" s="156">
        <v>1.7</v>
      </c>
      <c r="U37" s="156"/>
      <c r="V37" s="156">
        <v>41.5</v>
      </c>
      <c r="W37" s="156">
        <v>0.5</v>
      </c>
      <c r="X37" s="156"/>
      <c r="Y37" s="156">
        <v>29.8</v>
      </c>
      <c r="Z37" s="156">
        <v>1</v>
      </c>
      <c r="AA37" s="156"/>
      <c r="AB37" s="156">
        <v>29.1</v>
      </c>
      <c r="AC37" s="156">
        <v>0.4</v>
      </c>
      <c r="AD37" s="156"/>
      <c r="AE37" s="156">
        <v>26</v>
      </c>
      <c r="AF37" s="156">
        <v>1.7</v>
      </c>
      <c r="AG37" s="156"/>
      <c r="AH37" s="156">
        <v>37.799999999999997</v>
      </c>
      <c r="AI37" s="156">
        <v>1.8</v>
      </c>
      <c r="AJ37" s="156"/>
      <c r="AK37" s="156">
        <v>38.4</v>
      </c>
      <c r="AL37" s="156">
        <v>2.5</v>
      </c>
      <c r="AM37" s="157"/>
      <c r="AN37" s="156">
        <v>43.4</v>
      </c>
      <c r="AO37" s="156">
        <v>2.4</v>
      </c>
      <c r="AP37" s="157"/>
      <c r="AQ37" s="156">
        <v>55.1</v>
      </c>
      <c r="AR37" s="156">
        <v>1.7</v>
      </c>
      <c r="AS37" s="157"/>
      <c r="AT37" s="156">
        <v>26.7</v>
      </c>
      <c r="AU37" s="156">
        <v>3.4</v>
      </c>
      <c r="AV37" s="157"/>
      <c r="AW37" s="156">
        <v>41.1</v>
      </c>
      <c r="AX37" s="156">
        <v>4.0999999999999996</v>
      </c>
      <c r="AY37" s="156"/>
      <c r="AZ37" s="156">
        <v>26.9</v>
      </c>
      <c r="BA37" s="156">
        <v>5.4</v>
      </c>
      <c r="BB37" s="156"/>
      <c r="BC37" s="156">
        <v>21.5</v>
      </c>
      <c r="BD37" s="156">
        <v>6.6</v>
      </c>
      <c r="BE37" s="156"/>
      <c r="BF37" s="156">
        <v>18.7</v>
      </c>
      <c r="BG37" s="156">
        <v>5.9</v>
      </c>
      <c r="BH37" s="158"/>
      <c r="BI37" s="159">
        <v>15.2</v>
      </c>
      <c r="BJ37" s="156">
        <v>6.4</v>
      </c>
      <c r="BK37" s="156"/>
      <c r="BL37" s="156">
        <v>22.1</v>
      </c>
      <c r="BM37" s="156">
        <v>12.8</v>
      </c>
      <c r="BN37" s="156"/>
      <c r="BO37" s="156">
        <v>314.60000000000002</v>
      </c>
      <c r="BP37" s="156">
        <v>6.1</v>
      </c>
      <c r="BQ37" s="160"/>
      <c r="BR37" s="156">
        <v>563.9</v>
      </c>
      <c r="BS37" s="156">
        <v>10.4</v>
      </c>
      <c r="BT37" s="160"/>
      <c r="BU37" s="156">
        <v>640.5</v>
      </c>
      <c r="BV37" s="156">
        <v>6.9</v>
      </c>
      <c r="BW37" s="156"/>
      <c r="BX37" s="156">
        <v>343</v>
      </c>
      <c r="BY37" s="156">
        <v>6.9</v>
      </c>
      <c r="BZ37" s="156"/>
      <c r="CA37" s="156">
        <v>31.6</v>
      </c>
      <c r="CB37" s="156">
        <v>7.5</v>
      </c>
      <c r="CC37" s="156"/>
      <c r="CD37" s="156">
        <v>189.053</v>
      </c>
      <c r="CE37" s="156">
        <v>6.9980000000000002</v>
      </c>
      <c r="CF37" s="156"/>
      <c r="CG37" s="156">
        <v>196.40199999999999</v>
      </c>
      <c r="CH37" s="156">
        <v>7.8360000000000003</v>
      </c>
      <c r="CI37" s="156"/>
      <c r="CJ37" s="156">
        <v>58.351999999999997</v>
      </c>
      <c r="CK37" s="156">
        <v>38.512999999999998</v>
      </c>
    </row>
    <row r="38" spans="2:105" s="134" customFormat="1" ht="21" customHeight="1">
      <c r="B38" s="153"/>
      <c r="C38" s="154" t="s">
        <v>12</v>
      </c>
      <c r="D38" s="155">
        <v>7.74</v>
      </c>
      <c r="E38" s="156">
        <v>40.94</v>
      </c>
      <c r="F38" s="156"/>
      <c r="G38" s="156">
        <f>5383/1000</f>
        <v>5.383</v>
      </c>
      <c r="H38" s="156">
        <v>43.552999999999997</v>
      </c>
      <c r="I38" s="156"/>
      <c r="J38" s="156">
        <f>6161/1000</f>
        <v>6.1609999999999996</v>
      </c>
      <c r="K38" s="156">
        <v>59.954000000000001</v>
      </c>
      <c r="L38" s="156"/>
      <c r="M38" s="156">
        <v>9.0869999999999997</v>
      </c>
      <c r="N38" s="156">
        <v>51.731999999999999</v>
      </c>
      <c r="O38" s="156"/>
      <c r="P38" s="156">
        <f>7000/1000</f>
        <v>7</v>
      </c>
      <c r="Q38" s="156">
        <v>45.149000000000001</v>
      </c>
      <c r="R38" s="156"/>
      <c r="S38" s="156">
        <f>7935/1000</f>
        <v>7.9349999999999996</v>
      </c>
      <c r="T38" s="156">
        <v>51.783000000000001</v>
      </c>
      <c r="U38" s="156"/>
      <c r="V38" s="156">
        <f>8806/1000</f>
        <v>8.8059999999999992</v>
      </c>
      <c r="W38" s="156">
        <v>39.755000000000003</v>
      </c>
      <c r="X38" s="156"/>
      <c r="Y38" s="156">
        <v>10.1</v>
      </c>
      <c r="Z38" s="156">
        <v>31.899000000000001</v>
      </c>
      <c r="AA38" s="156"/>
      <c r="AB38" s="156">
        <f>14939/1000</f>
        <v>14.939</v>
      </c>
      <c r="AC38" s="156">
        <v>27.655000000000001</v>
      </c>
      <c r="AD38" s="156"/>
      <c r="AE38" s="156">
        <f>17755/1000</f>
        <v>17.754999999999999</v>
      </c>
      <c r="AF38" s="156">
        <v>25.183</v>
      </c>
      <c r="AG38" s="156"/>
      <c r="AH38" s="156">
        <v>20.670999999999999</v>
      </c>
      <c r="AI38" s="156">
        <v>25.254000000000001</v>
      </c>
      <c r="AJ38" s="156"/>
      <c r="AK38" s="156">
        <v>16.928999999999998</v>
      </c>
      <c r="AL38" s="156">
        <v>25.391999999999999</v>
      </c>
      <c r="AM38" s="157"/>
      <c r="AN38" s="156">
        <v>16.954999999999998</v>
      </c>
      <c r="AO38" s="156">
        <v>28.370999999999999</v>
      </c>
      <c r="AP38" s="157"/>
      <c r="AQ38" s="156">
        <v>23.443999999999999</v>
      </c>
      <c r="AR38" s="156">
        <v>31.814</v>
      </c>
      <c r="AS38" s="157"/>
      <c r="AT38" s="156">
        <v>16.111000000000001</v>
      </c>
      <c r="AU38" s="156">
        <v>32.670999999999999</v>
      </c>
      <c r="AV38" s="157"/>
      <c r="AW38" s="156">
        <v>12.113</v>
      </c>
      <c r="AX38" s="156">
        <v>37.543999999999997</v>
      </c>
      <c r="AY38" s="156"/>
      <c r="AZ38" s="156">
        <v>17.253</v>
      </c>
      <c r="BA38" s="156">
        <v>47.7</v>
      </c>
      <c r="BB38" s="156"/>
      <c r="BC38" s="156">
        <v>10.199999999999999</v>
      </c>
      <c r="BD38" s="156">
        <v>50.2</v>
      </c>
      <c r="BE38" s="156"/>
      <c r="BF38" s="156">
        <v>12</v>
      </c>
      <c r="BG38" s="156">
        <v>35.700000000000003</v>
      </c>
      <c r="BH38" s="158"/>
      <c r="BI38" s="159">
        <v>10.8</v>
      </c>
      <c r="BJ38" s="156">
        <v>34.1</v>
      </c>
      <c r="BK38" s="156"/>
      <c r="BL38" s="156">
        <v>10.5</v>
      </c>
      <c r="BM38" s="156">
        <v>60.5</v>
      </c>
      <c r="BN38" s="156"/>
      <c r="BO38" s="156">
        <v>11</v>
      </c>
      <c r="BP38" s="156">
        <v>36.299999999999997</v>
      </c>
      <c r="BQ38" s="160"/>
      <c r="BR38" s="156">
        <v>11.5</v>
      </c>
      <c r="BS38" s="156">
        <v>45</v>
      </c>
      <c r="BT38" s="160"/>
      <c r="BU38" s="156">
        <v>12.1</v>
      </c>
      <c r="BV38" s="156">
        <v>123.3</v>
      </c>
      <c r="BW38" s="156"/>
      <c r="BX38" s="156">
        <v>19.100000000000001</v>
      </c>
      <c r="BY38" s="156">
        <v>49.8</v>
      </c>
      <c r="BZ38" s="156"/>
      <c r="CA38" s="156">
        <v>22.024000000000001</v>
      </c>
      <c r="CB38" s="156">
        <v>87.617999999999995</v>
      </c>
      <c r="CC38" s="156"/>
      <c r="CD38" s="156">
        <v>23.184999999999999</v>
      </c>
      <c r="CE38" s="156">
        <v>285.488</v>
      </c>
      <c r="CF38" s="156"/>
      <c r="CG38" s="156">
        <v>33.386000000000003</v>
      </c>
      <c r="CH38" s="156">
        <v>314.73700000000002</v>
      </c>
      <c r="CI38" s="156"/>
      <c r="CJ38" s="156">
        <v>29.881</v>
      </c>
      <c r="CK38" s="156">
        <v>444.887</v>
      </c>
    </row>
    <row r="39" spans="2:105" s="134" customFormat="1" ht="21" customHeight="1">
      <c r="B39" s="153"/>
      <c r="C39" s="154" t="s">
        <v>37</v>
      </c>
      <c r="D39" s="155">
        <v>0</v>
      </c>
      <c r="E39" s="156">
        <v>0</v>
      </c>
      <c r="F39" s="156"/>
      <c r="G39" s="156">
        <v>0</v>
      </c>
      <c r="H39" s="156">
        <v>0.1</v>
      </c>
      <c r="I39" s="156"/>
      <c r="J39" s="156">
        <v>0</v>
      </c>
      <c r="K39" s="156">
        <v>0</v>
      </c>
      <c r="L39" s="156"/>
      <c r="M39" s="156">
        <v>0</v>
      </c>
      <c r="N39" s="156">
        <v>0.1</v>
      </c>
      <c r="O39" s="156"/>
      <c r="P39" s="156">
        <v>0</v>
      </c>
      <c r="Q39" s="156">
        <v>0</v>
      </c>
      <c r="R39" s="156"/>
      <c r="S39" s="156">
        <v>0</v>
      </c>
      <c r="T39" s="156">
        <v>0</v>
      </c>
      <c r="U39" s="156"/>
      <c r="V39" s="156">
        <v>0</v>
      </c>
      <c r="W39" s="156">
        <v>0.1</v>
      </c>
      <c r="X39" s="156"/>
      <c r="Y39" s="156">
        <v>6.5000000000000002E-2</v>
      </c>
      <c r="Z39" s="156">
        <v>0</v>
      </c>
      <c r="AA39" s="156"/>
      <c r="AB39" s="156">
        <v>0</v>
      </c>
      <c r="AC39" s="156">
        <v>0</v>
      </c>
      <c r="AD39" s="156"/>
      <c r="AE39" s="156">
        <v>0</v>
      </c>
      <c r="AF39" s="156">
        <v>0</v>
      </c>
      <c r="AG39" s="156"/>
      <c r="AH39" s="156">
        <v>0</v>
      </c>
      <c r="AI39" s="156">
        <v>0.1</v>
      </c>
      <c r="AJ39" s="156"/>
      <c r="AK39" s="156">
        <v>0</v>
      </c>
      <c r="AL39" s="156">
        <v>0</v>
      </c>
      <c r="AM39" s="157"/>
      <c r="AN39" s="156">
        <v>0</v>
      </c>
      <c r="AO39" s="156">
        <v>0.1</v>
      </c>
      <c r="AP39" s="157"/>
      <c r="AQ39" s="156">
        <v>0</v>
      </c>
      <c r="AR39" s="156">
        <v>0.1</v>
      </c>
      <c r="AS39" s="157"/>
      <c r="AT39" s="156">
        <v>0</v>
      </c>
      <c r="AU39" s="156">
        <v>0.1</v>
      </c>
      <c r="AV39" s="157"/>
      <c r="AW39" s="156">
        <v>0</v>
      </c>
      <c r="AX39" s="156">
        <v>0.2</v>
      </c>
      <c r="AY39" s="156"/>
      <c r="AZ39" s="156">
        <v>0</v>
      </c>
      <c r="BA39" s="156">
        <v>0.1</v>
      </c>
      <c r="BB39" s="156"/>
      <c r="BC39" s="156">
        <v>0</v>
      </c>
      <c r="BD39" s="156">
        <v>0.1</v>
      </c>
      <c r="BE39" s="156"/>
      <c r="BF39" s="156">
        <v>0</v>
      </c>
      <c r="BG39" s="156">
        <v>0.1</v>
      </c>
      <c r="BH39" s="158"/>
      <c r="BI39" s="159">
        <v>184.9</v>
      </c>
      <c r="BJ39" s="156">
        <v>20.5</v>
      </c>
      <c r="BK39" s="156"/>
      <c r="BL39" s="156">
        <v>182.4</v>
      </c>
      <c r="BM39" s="156">
        <v>95.7</v>
      </c>
      <c r="BN39" s="156"/>
      <c r="BO39" s="156">
        <v>30.9</v>
      </c>
      <c r="BP39" s="156">
        <v>154.69999999999999</v>
      </c>
      <c r="BQ39" s="160"/>
      <c r="BR39" s="156">
        <v>15.1</v>
      </c>
      <c r="BS39" s="156">
        <v>29.4</v>
      </c>
      <c r="BT39" s="160"/>
      <c r="BU39" s="156">
        <v>30.4</v>
      </c>
      <c r="BV39" s="156">
        <v>70.7</v>
      </c>
      <c r="BW39" s="156"/>
      <c r="BX39" s="156">
        <v>56.1</v>
      </c>
      <c r="BY39" s="156">
        <v>52.5</v>
      </c>
      <c r="BZ39" s="156"/>
      <c r="CA39" s="156">
        <v>84.852999999999994</v>
      </c>
      <c r="CB39" s="156">
        <v>203.80699999999999</v>
      </c>
      <c r="CC39" s="156"/>
      <c r="CD39" s="156">
        <v>65.051000000000002</v>
      </c>
      <c r="CE39" s="156">
        <v>161.869</v>
      </c>
      <c r="CF39" s="156"/>
      <c r="CG39" s="156">
        <v>55.448999999999998</v>
      </c>
      <c r="CH39" s="156">
        <v>242.29300000000001</v>
      </c>
      <c r="CI39" s="156"/>
      <c r="CJ39" s="156">
        <v>17.189</v>
      </c>
      <c r="CK39" s="156">
        <v>207.64099999999999</v>
      </c>
    </row>
    <row r="40" spans="2:105" s="134" customFormat="1" ht="21" customHeight="1">
      <c r="B40" s="153"/>
      <c r="C40" s="154" t="s">
        <v>38</v>
      </c>
      <c r="D40" s="155">
        <v>1.4</v>
      </c>
      <c r="E40" s="156">
        <v>10.5</v>
      </c>
      <c r="F40" s="156"/>
      <c r="G40" s="156">
        <v>7</v>
      </c>
      <c r="H40" s="156">
        <v>7.3</v>
      </c>
      <c r="I40" s="156"/>
      <c r="J40" s="156">
        <v>6.8</v>
      </c>
      <c r="K40" s="156">
        <v>11.7</v>
      </c>
      <c r="L40" s="156"/>
      <c r="M40" s="156">
        <v>9.4</v>
      </c>
      <c r="N40" s="156">
        <v>7</v>
      </c>
      <c r="O40" s="156"/>
      <c r="P40" s="156">
        <v>7.2</v>
      </c>
      <c r="Q40" s="156">
        <v>2.2000000000000002</v>
      </c>
      <c r="R40" s="156"/>
      <c r="S40" s="156">
        <v>13.1</v>
      </c>
      <c r="T40" s="156">
        <v>6.4</v>
      </c>
      <c r="U40" s="156"/>
      <c r="V40" s="156">
        <v>1.5</v>
      </c>
      <c r="W40" s="156">
        <v>4.8</v>
      </c>
      <c r="X40" s="156"/>
      <c r="Y40" s="156">
        <v>0.6</v>
      </c>
      <c r="Z40" s="156">
        <v>3.2</v>
      </c>
      <c r="AA40" s="156"/>
      <c r="AB40" s="156">
        <v>1</v>
      </c>
      <c r="AC40" s="156">
        <v>3.3</v>
      </c>
      <c r="AD40" s="156"/>
      <c r="AE40" s="156">
        <v>0</v>
      </c>
      <c r="AF40" s="156">
        <v>4.5999999999999996</v>
      </c>
      <c r="AG40" s="156"/>
      <c r="AH40" s="156">
        <v>2</v>
      </c>
      <c r="AI40" s="156">
        <v>6.3</v>
      </c>
      <c r="AJ40" s="156"/>
      <c r="AK40" s="156">
        <v>3.1</v>
      </c>
      <c r="AL40" s="156">
        <v>6.3</v>
      </c>
      <c r="AM40" s="157"/>
      <c r="AN40" s="156">
        <v>8.1</v>
      </c>
      <c r="AO40" s="156">
        <v>4.3</v>
      </c>
      <c r="AP40" s="157"/>
      <c r="AQ40" s="156">
        <v>10.199999999999999</v>
      </c>
      <c r="AR40" s="156">
        <v>5.7</v>
      </c>
      <c r="AS40" s="157"/>
      <c r="AT40" s="156">
        <v>4.5</v>
      </c>
      <c r="AU40" s="156">
        <v>15.2</v>
      </c>
      <c r="AV40" s="157"/>
      <c r="AW40" s="156">
        <v>13.1</v>
      </c>
      <c r="AX40" s="156">
        <v>7.8</v>
      </c>
      <c r="AY40" s="156"/>
      <c r="AZ40" s="156">
        <v>0</v>
      </c>
      <c r="BA40" s="156">
        <v>1.9</v>
      </c>
      <c r="BB40" s="156"/>
      <c r="BC40" s="156">
        <v>5.5E-2</v>
      </c>
      <c r="BD40" s="156">
        <v>12.3</v>
      </c>
      <c r="BE40" s="156"/>
      <c r="BF40" s="156">
        <v>0</v>
      </c>
      <c r="BG40" s="156">
        <v>21.3</v>
      </c>
      <c r="BH40" s="158"/>
      <c r="BI40" s="159">
        <v>0</v>
      </c>
      <c r="BJ40" s="156">
        <v>7.2</v>
      </c>
      <c r="BK40" s="156"/>
      <c r="BL40" s="156">
        <v>0</v>
      </c>
      <c r="BM40" s="156">
        <v>3.4</v>
      </c>
      <c r="BN40" s="156"/>
      <c r="BO40" s="156">
        <v>6.4</v>
      </c>
      <c r="BP40" s="156">
        <v>131</v>
      </c>
      <c r="BQ40" s="160"/>
      <c r="BR40" s="156">
        <v>5.2</v>
      </c>
      <c r="BS40" s="156">
        <v>266.60000000000002</v>
      </c>
      <c r="BT40" s="160"/>
      <c r="BU40" s="156">
        <v>16.899999999999999</v>
      </c>
      <c r="BV40" s="156">
        <v>384.4</v>
      </c>
      <c r="BW40" s="156"/>
      <c r="BX40" s="156">
        <v>0.9</v>
      </c>
      <c r="BY40" s="156">
        <v>315</v>
      </c>
      <c r="BZ40" s="156"/>
      <c r="CA40" s="156">
        <v>1E-3</v>
      </c>
      <c r="CB40" s="156">
        <v>162.52500000000001</v>
      </c>
      <c r="CC40" s="156"/>
      <c r="CD40" s="156">
        <v>3.2370000000000001</v>
      </c>
      <c r="CE40" s="156">
        <v>180.70099999999999</v>
      </c>
      <c r="CF40" s="156"/>
      <c r="CG40" s="156">
        <v>1.984</v>
      </c>
      <c r="CH40" s="156">
        <v>126.324</v>
      </c>
      <c r="CI40" s="156"/>
      <c r="CJ40" s="156">
        <v>11.874000000000001</v>
      </c>
      <c r="CK40" s="156">
        <v>716.98400000000004</v>
      </c>
    </row>
    <row r="41" spans="2:105" s="134" customFormat="1" ht="21" customHeight="1">
      <c r="B41" s="153"/>
      <c r="C41" s="154" t="s">
        <v>39</v>
      </c>
      <c r="D41" s="155">
        <v>0</v>
      </c>
      <c r="E41" s="156">
        <v>0</v>
      </c>
      <c r="F41" s="156"/>
      <c r="G41" s="156">
        <v>0</v>
      </c>
      <c r="H41" s="156">
        <v>0</v>
      </c>
      <c r="I41" s="156"/>
      <c r="J41" s="156">
        <v>0</v>
      </c>
      <c r="K41" s="156">
        <v>0</v>
      </c>
      <c r="L41" s="156"/>
      <c r="M41" s="156">
        <v>0</v>
      </c>
      <c r="N41" s="156">
        <v>0</v>
      </c>
      <c r="O41" s="156"/>
      <c r="P41" s="156">
        <v>0</v>
      </c>
      <c r="Q41" s="156">
        <v>0</v>
      </c>
      <c r="R41" s="156"/>
      <c r="S41" s="156">
        <v>0</v>
      </c>
      <c r="T41" s="156">
        <v>0</v>
      </c>
      <c r="U41" s="156"/>
      <c r="V41" s="156">
        <v>0</v>
      </c>
      <c r="W41" s="156">
        <v>0</v>
      </c>
      <c r="X41" s="156"/>
      <c r="Y41" s="156">
        <v>0</v>
      </c>
      <c r="Z41" s="156">
        <v>0</v>
      </c>
      <c r="AA41" s="156"/>
      <c r="AB41" s="156">
        <v>0</v>
      </c>
      <c r="AC41" s="156">
        <v>0</v>
      </c>
      <c r="AD41" s="156"/>
      <c r="AE41" s="156">
        <v>0</v>
      </c>
      <c r="AF41" s="156">
        <v>0</v>
      </c>
      <c r="AG41" s="156"/>
      <c r="AH41" s="156">
        <v>0</v>
      </c>
      <c r="AI41" s="156">
        <v>0</v>
      </c>
      <c r="AJ41" s="156"/>
      <c r="AK41" s="156">
        <v>0</v>
      </c>
      <c r="AL41" s="156">
        <v>0</v>
      </c>
      <c r="AM41" s="157"/>
      <c r="AN41" s="156">
        <v>0</v>
      </c>
      <c r="AO41" s="156">
        <v>0</v>
      </c>
      <c r="AP41" s="157"/>
      <c r="AQ41" s="156">
        <v>0</v>
      </c>
      <c r="AR41" s="156">
        <v>0</v>
      </c>
      <c r="AS41" s="157"/>
      <c r="AT41" s="156">
        <v>0</v>
      </c>
      <c r="AU41" s="156">
        <v>0</v>
      </c>
      <c r="AV41" s="157"/>
      <c r="AW41" s="156">
        <v>0</v>
      </c>
      <c r="AX41" s="156">
        <v>0</v>
      </c>
      <c r="AY41" s="156"/>
      <c r="AZ41" s="156">
        <v>0</v>
      </c>
      <c r="BA41" s="156">
        <v>0</v>
      </c>
      <c r="BB41" s="156"/>
      <c r="BC41" s="156">
        <v>0</v>
      </c>
      <c r="BD41" s="156">
        <v>0</v>
      </c>
      <c r="BE41" s="156"/>
      <c r="BF41" s="156">
        <v>0</v>
      </c>
      <c r="BG41" s="156">
        <v>0</v>
      </c>
      <c r="BH41" s="158"/>
      <c r="BI41" s="159">
        <v>4.5</v>
      </c>
      <c r="BJ41" s="156">
        <v>226.3</v>
      </c>
      <c r="BK41" s="156"/>
      <c r="BL41" s="156">
        <v>92.6</v>
      </c>
      <c r="BM41" s="156">
        <v>199.5</v>
      </c>
      <c r="BN41" s="156"/>
      <c r="BO41" s="156">
        <v>60.7</v>
      </c>
      <c r="BP41" s="156">
        <v>81.3</v>
      </c>
      <c r="BQ41" s="160"/>
      <c r="BR41" s="156">
        <v>53.4</v>
      </c>
      <c r="BS41" s="156">
        <v>132</v>
      </c>
      <c r="BT41" s="160"/>
      <c r="BU41" s="156">
        <v>122.7</v>
      </c>
      <c r="BV41" s="156">
        <v>135.6</v>
      </c>
      <c r="BW41" s="156"/>
      <c r="BX41" s="156">
        <v>62.9</v>
      </c>
      <c r="BY41" s="156">
        <v>70.599999999999994</v>
      </c>
      <c r="BZ41" s="156"/>
      <c r="CA41" s="156">
        <v>29.9</v>
      </c>
      <c r="CB41" s="156">
        <v>155.84299999999999</v>
      </c>
      <c r="CC41" s="156"/>
      <c r="CD41" s="156">
        <v>45.024999999999999</v>
      </c>
      <c r="CE41" s="156">
        <v>251.233</v>
      </c>
      <c r="CF41" s="156"/>
      <c r="CG41" s="156">
        <v>13.112</v>
      </c>
      <c r="CH41" s="156">
        <v>164.34200000000001</v>
      </c>
      <c r="CI41" s="156"/>
      <c r="CJ41" s="156">
        <v>73.491</v>
      </c>
      <c r="CK41" s="156">
        <v>271.49200000000002</v>
      </c>
    </row>
    <row r="42" spans="2:105" s="134" customFormat="1" ht="21" customHeight="1">
      <c r="B42" s="153"/>
      <c r="C42" s="154" t="s">
        <v>79</v>
      </c>
      <c r="D42" s="155">
        <v>0.3</v>
      </c>
      <c r="E42" s="156">
        <v>2.4</v>
      </c>
      <c r="F42" s="156"/>
      <c r="G42" s="156">
        <v>0.1</v>
      </c>
      <c r="H42" s="156">
        <v>2.2999999999999998</v>
      </c>
      <c r="I42" s="156"/>
      <c r="J42" s="156">
        <v>0</v>
      </c>
      <c r="K42" s="156">
        <v>2</v>
      </c>
      <c r="L42" s="156"/>
      <c r="M42" s="156">
        <v>0.2</v>
      </c>
      <c r="N42" s="156">
        <v>2.2999999999999998</v>
      </c>
      <c r="O42" s="156"/>
      <c r="P42" s="156">
        <v>0</v>
      </c>
      <c r="Q42" s="156">
        <v>4</v>
      </c>
      <c r="R42" s="156"/>
      <c r="S42" s="156">
        <v>0</v>
      </c>
      <c r="T42" s="156">
        <v>3.6</v>
      </c>
      <c r="U42" s="156"/>
      <c r="V42" s="156">
        <v>0</v>
      </c>
      <c r="W42" s="156">
        <v>3.7</v>
      </c>
      <c r="X42" s="156"/>
      <c r="Y42" s="156">
        <v>0</v>
      </c>
      <c r="Z42" s="156">
        <v>1.9</v>
      </c>
      <c r="AA42" s="156"/>
      <c r="AB42" s="156">
        <v>0</v>
      </c>
      <c r="AC42" s="156">
        <v>2.4</v>
      </c>
      <c r="AD42" s="156"/>
      <c r="AE42" s="156">
        <v>0</v>
      </c>
      <c r="AF42" s="156">
        <v>1.5</v>
      </c>
      <c r="AG42" s="156"/>
      <c r="AH42" s="156">
        <v>0.2</v>
      </c>
      <c r="AI42" s="156">
        <v>1.8</v>
      </c>
      <c r="AJ42" s="156"/>
      <c r="AK42" s="156">
        <v>0</v>
      </c>
      <c r="AL42" s="156">
        <v>2.2000000000000002</v>
      </c>
      <c r="AM42" s="157"/>
      <c r="AN42" s="156">
        <v>0</v>
      </c>
      <c r="AO42" s="156">
        <v>1.8</v>
      </c>
      <c r="AP42" s="157"/>
      <c r="AQ42" s="156">
        <v>0</v>
      </c>
      <c r="AR42" s="156">
        <v>2</v>
      </c>
      <c r="AS42" s="157"/>
      <c r="AT42" s="156">
        <v>0.4</v>
      </c>
      <c r="AU42" s="156">
        <v>1.4</v>
      </c>
      <c r="AV42" s="157"/>
      <c r="AW42" s="156">
        <v>0</v>
      </c>
      <c r="AX42" s="156">
        <v>2</v>
      </c>
      <c r="AY42" s="156"/>
      <c r="AZ42" s="156">
        <v>0.3</v>
      </c>
      <c r="BA42" s="156">
        <v>2.1</v>
      </c>
      <c r="BB42" s="156"/>
      <c r="BC42" s="156">
        <v>0.5</v>
      </c>
      <c r="BD42" s="156">
        <v>2.4</v>
      </c>
      <c r="BE42" s="156"/>
      <c r="BF42" s="156">
        <v>0.3</v>
      </c>
      <c r="BG42" s="156">
        <v>4</v>
      </c>
      <c r="BH42" s="158"/>
      <c r="BI42" s="159">
        <v>0.4</v>
      </c>
      <c r="BJ42" s="156">
        <v>5.6</v>
      </c>
      <c r="BK42" s="156"/>
      <c r="BL42" s="156">
        <v>0.5</v>
      </c>
      <c r="BM42" s="156">
        <v>28.7</v>
      </c>
      <c r="BN42" s="156"/>
      <c r="BO42" s="156">
        <v>0.6</v>
      </c>
      <c r="BP42" s="156">
        <v>2.6</v>
      </c>
      <c r="BQ42" s="160"/>
      <c r="BR42" s="156">
        <v>1</v>
      </c>
      <c r="BS42" s="156">
        <v>3.4</v>
      </c>
      <c r="BT42" s="160"/>
      <c r="BU42" s="156">
        <v>0.9</v>
      </c>
      <c r="BV42" s="156">
        <v>1.2</v>
      </c>
      <c r="BW42" s="156"/>
      <c r="BX42" s="156">
        <v>1</v>
      </c>
      <c r="BY42" s="156">
        <v>21.9</v>
      </c>
      <c r="BZ42" s="156"/>
      <c r="CA42" s="156">
        <v>0.9</v>
      </c>
      <c r="CB42" s="156">
        <v>2.6</v>
      </c>
      <c r="CC42" s="156"/>
      <c r="CD42" s="156">
        <v>0.69499999999999995</v>
      </c>
      <c r="CE42" s="156">
        <v>2.9449999999999998</v>
      </c>
      <c r="CF42" s="156"/>
      <c r="CG42" s="156">
        <v>1.0920000000000001</v>
      </c>
      <c r="CH42" s="156">
        <v>50.08</v>
      </c>
      <c r="CI42" s="156"/>
      <c r="CJ42" s="156">
        <v>1.9530000000000001</v>
      </c>
      <c r="CK42" s="156">
        <v>144.39400000000001</v>
      </c>
    </row>
    <row r="43" spans="2:105" s="134" customFormat="1" ht="21" customHeight="1">
      <c r="B43" s="153"/>
      <c r="C43" s="154" t="s">
        <v>80</v>
      </c>
      <c r="D43" s="155">
        <v>4.3</v>
      </c>
      <c r="E43" s="156">
        <v>6.2</v>
      </c>
      <c r="F43" s="156"/>
      <c r="G43" s="156">
        <v>3.5</v>
      </c>
      <c r="H43" s="156">
        <v>3.2</v>
      </c>
      <c r="I43" s="156"/>
      <c r="J43" s="156">
        <v>4</v>
      </c>
      <c r="K43" s="156">
        <v>1.6</v>
      </c>
      <c r="L43" s="156"/>
      <c r="M43" s="156">
        <v>4.9000000000000004</v>
      </c>
      <c r="N43" s="156">
        <v>2.9</v>
      </c>
      <c r="O43" s="156"/>
      <c r="P43" s="156">
        <v>4.3</v>
      </c>
      <c r="Q43" s="156">
        <v>3.9</v>
      </c>
      <c r="R43" s="156"/>
      <c r="S43" s="156">
        <v>4.8</v>
      </c>
      <c r="T43" s="156">
        <v>2.2999999999999998</v>
      </c>
      <c r="U43" s="156"/>
      <c r="V43" s="156">
        <v>9</v>
      </c>
      <c r="W43" s="156">
        <v>22.1</v>
      </c>
      <c r="X43" s="156"/>
      <c r="Y43" s="156">
        <v>12.7</v>
      </c>
      <c r="Z43" s="156">
        <v>2.6</v>
      </c>
      <c r="AA43" s="156"/>
      <c r="AB43" s="156">
        <v>4</v>
      </c>
      <c r="AC43" s="156">
        <v>2.5</v>
      </c>
      <c r="AD43" s="156"/>
      <c r="AE43" s="156">
        <v>4.9000000000000004</v>
      </c>
      <c r="AF43" s="156">
        <v>3.7</v>
      </c>
      <c r="AG43" s="156"/>
      <c r="AH43" s="156">
        <v>7.9</v>
      </c>
      <c r="AI43" s="156">
        <v>3.9</v>
      </c>
      <c r="AJ43" s="156"/>
      <c r="AK43" s="156">
        <v>5.9</v>
      </c>
      <c r="AL43" s="156">
        <v>3</v>
      </c>
      <c r="AM43" s="157"/>
      <c r="AN43" s="156">
        <v>6.7</v>
      </c>
      <c r="AO43" s="156">
        <v>2.5</v>
      </c>
      <c r="AP43" s="157"/>
      <c r="AQ43" s="156">
        <v>45.9</v>
      </c>
      <c r="AR43" s="156">
        <v>2.6</v>
      </c>
      <c r="AS43" s="157"/>
      <c r="AT43" s="156">
        <v>8</v>
      </c>
      <c r="AU43" s="156">
        <v>1.6</v>
      </c>
      <c r="AV43" s="157"/>
      <c r="AW43" s="156">
        <v>7</v>
      </c>
      <c r="AX43" s="156">
        <v>5</v>
      </c>
      <c r="AY43" s="156"/>
      <c r="AZ43" s="156">
        <v>29.5</v>
      </c>
      <c r="BA43" s="156">
        <v>6.5</v>
      </c>
      <c r="BB43" s="156"/>
      <c r="BC43" s="156">
        <v>31.8</v>
      </c>
      <c r="BD43" s="156">
        <v>8.5</v>
      </c>
      <c r="BE43" s="156"/>
      <c r="BF43" s="156">
        <v>30.3</v>
      </c>
      <c r="BG43" s="156">
        <v>7.9</v>
      </c>
      <c r="BH43" s="158"/>
      <c r="BI43" s="159">
        <v>47.8</v>
      </c>
      <c r="BJ43" s="156">
        <v>5.5</v>
      </c>
      <c r="BK43" s="156"/>
      <c r="BL43" s="156">
        <v>101</v>
      </c>
      <c r="BM43" s="156">
        <v>46.2</v>
      </c>
      <c r="BN43" s="156"/>
      <c r="BO43" s="156">
        <v>44.9</v>
      </c>
      <c r="BP43" s="156">
        <v>1.8</v>
      </c>
      <c r="BQ43" s="160"/>
      <c r="BR43" s="156">
        <v>96.7</v>
      </c>
      <c r="BS43" s="156">
        <v>193</v>
      </c>
      <c r="BT43" s="160"/>
      <c r="BU43" s="156">
        <v>31.3</v>
      </c>
      <c r="BV43" s="156">
        <v>233.6</v>
      </c>
      <c r="BW43" s="156"/>
      <c r="BX43" s="156">
        <v>28.3</v>
      </c>
      <c r="BY43" s="156">
        <v>65.599999999999994</v>
      </c>
      <c r="BZ43" s="156"/>
      <c r="CA43" s="156">
        <v>51.5</v>
      </c>
      <c r="CB43" s="156">
        <v>19.600000000000001</v>
      </c>
      <c r="CC43" s="156"/>
      <c r="CD43" s="156">
        <v>9.1370000000000005</v>
      </c>
      <c r="CE43" s="156">
        <v>96.599000000000004</v>
      </c>
      <c r="CF43" s="156"/>
      <c r="CG43" s="156">
        <v>45.106000000000002</v>
      </c>
      <c r="CH43" s="156">
        <v>29.178000000000001</v>
      </c>
      <c r="CI43" s="156"/>
      <c r="CJ43" s="156">
        <v>65.066000000000003</v>
      </c>
      <c r="CK43" s="156">
        <v>54.268999999999998</v>
      </c>
    </row>
    <row r="44" spans="2:105" s="134" customFormat="1" ht="21" customHeight="1">
      <c r="B44" s="153"/>
      <c r="C44" s="154" t="s">
        <v>61</v>
      </c>
      <c r="D44" s="156">
        <v>2E-3</v>
      </c>
      <c r="E44" s="156">
        <v>2</v>
      </c>
      <c r="F44" s="156"/>
      <c r="G44" s="156">
        <v>1E-3</v>
      </c>
      <c r="H44" s="156">
        <v>3</v>
      </c>
      <c r="I44" s="156"/>
      <c r="J44" s="156">
        <v>0.2</v>
      </c>
      <c r="K44" s="156">
        <v>2.9</v>
      </c>
      <c r="L44" s="156"/>
      <c r="M44" s="156">
        <v>2.5999999999999999E-2</v>
      </c>
      <c r="N44" s="156">
        <v>2.1</v>
      </c>
      <c r="O44" s="156"/>
      <c r="P44" s="156">
        <v>0.13800000000000001</v>
      </c>
      <c r="Q44" s="156">
        <v>10.7</v>
      </c>
      <c r="R44" s="156"/>
      <c r="S44" s="156">
        <v>0.5</v>
      </c>
      <c r="T44" s="156">
        <v>10.9</v>
      </c>
      <c r="U44" s="156"/>
      <c r="V44" s="156">
        <v>0.7</v>
      </c>
      <c r="W44" s="156">
        <v>5.7</v>
      </c>
      <c r="X44" s="156"/>
      <c r="Y44" s="156">
        <v>0.9</v>
      </c>
      <c r="Z44" s="156">
        <v>3.2</v>
      </c>
      <c r="AA44" s="156"/>
      <c r="AB44" s="156">
        <v>1.2</v>
      </c>
      <c r="AC44" s="156">
        <v>0.4</v>
      </c>
      <c r="AD44" s="156"/>
      <c r="AE44" s="156">
        <v>7.5</v>
      </c>
      <c r="AF44" s="156">
        <v>0.09</v>
      </c>
      <c r="AG44" s="156"/>
      <c r="AH44" s="156">
        <v>14.7</v>
      </c>
      <c r="AI44" s="156">
        <v>0.6</v>
      </c>
      <c r="AJ44" s="156"/>
      <c r="AK44" s="156">
        <v>8.6999999999999993</v>
      </c>
      <c r="AL44" s="156">
        <v>5.1999999999999998E-2</v>
      </c>
      <c r="AM44" s="157"/>
      <c r="AN44" s="156">
        <v>11.1</v>
      </c>
      <c r="AO44" s="156">
        <v>1.3</v>
      </c>
      <c r="AP44" s="157"/>
      <c r="AQ44" s="156">
        <v>19.8</v>
      </c>
      <c r="AR44" s="156">
        <v>0.1</v>
      </c>
      <c r="AS44" s="157"/>
      <c r="AT44" s="156">
        <v>7.7</v>
      </c>
      <c r="AU44" s="156">
        <v>0.5</v>
      </c>
      <c r="AV44" s="157"/>
      <c r="AW44" s="156">
        <v>14.8</v>
      </c>
      <c r="AX44" s="156">
        <v>0.6</v>
      </c>
      <c r="AY44" s="156"/>
      <c r="AZ44" s="156">
        <v>9</v>
      </c>
      <c r="BA44" s="156">
        <v>0.3</v>
      </c>
      <c r="BB44" s="156"/>
      <c r="BC44" s="156">
        <v>6.6</v>
      </c>
      <c r="BD44" s="156">
        <v>0.3</v>
      </c>
      <c r="BE44" s="156"/>
      <c r="BF44" s="156">
        <v>4.5999999999999996</v>
      </c>
      <c r="BG44" s="156">
        <v>0.49299999999999999</v>
      </c>
      <c r="BH44" s="158"/>
      <c r="BI44" s="159">
        <v>15.3</v>
      </c>
      <c r="BJ44" s="156">
        <v>0.6</v>
      </c>
      <c r="BK44" s="156"/>
      <c r="BL44" s="156">
        <v>15.4</v>
      </c>
      <c r="BM44" s="156">
        <v>0.9</v>
      </c>
      <c r="BN44" s="156"/>
      <c r="BO44" s="156">
        <v>24.3</v>
      </c>
      <c r="BP44" s="156">
        <v>2.2999999999999998</v>
      </c>
      <c r="BQ44" s="160"/>
      <c r="BR44" s="156">
        <v>93.3</v>
      </c>
      <c r="BS44" s="156">
        <v>2.9</v>
      </c>
      <c r="BT44" s="160"/>
      <c r="BU44" s="156">
        <v>60</v>
      </c>
      <c r="BV44" s="156">
        <v>4.5</v>
      </c>
      <c r="BW44" s="156"/>
      <c r="BX44" s="156">
        <v>29.1</v>
      </c>
      <c r="BY44" s="156">
        <v>8.5</v>
      </c>
      <c r="BZ44" s="156"/>
      <c r="CA44" s="156">
        <v>46.723999999999997</v>
      </c>
      <c r="CB44" s="156">
        <v>3.4620000000000002</v>
      </c>
      <c r="CC44" s="156"/>
      <c r="CD44" s="156">
        <v>111.11</v>
      </c>
      <c r="CE44" s="156">
        <v>3.0779999999999998</v>
      </c>
      <c r="CF44" s="156"/>
      <c r="CG44" s="156">
        <v>184.48699999999999</v>
      </c>
      <c r="CH44" s="156">
        <v>3.5089999999999999</v>
      </c>
      <c r="CI44" s="156"/>
      <c r="CJ44" s="156">
        <v>188.53800000000001</v>
      </c>
      <c r="CK44" s="156">
        <v>6.1130000000000004</v>
      </c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</row>
    <row r="45" spans="2:105" s="134" customFormat="1" ht="21" customHeight="1">
      <c r="B45" s="153"/>
      <c r="C45" s="154" t="s">
        <v>81</v>
      </c>
      <c r="D45" s="156">
        <v>13.2</v>
      </c>
      <c r="E45" s="156">
        <v>6.8</v>
      </c>
      <c r="F45" s="156"/>
      <c r="G45" s="156">
        <v>22.3</v>
      </c>
      <c r="H45" s="156">
        <v>9.3000000000000007</v>
      </c>
      <c r="I45" s="156"/>
      <c r="J45" s="156">
        <v>23.2</v>
      </c>
      <c r="K45" s="156">
        <v>10.4</v>
      </c>
      <c r="L45" s="156"/>
      <c r="M45" s="156">
        <v>24.6</v>
      </c>
      <c r="N45" s="156">
        <v>5.4</v>
      </c>
      <c r="O45" s="156"/>
      <c r="P45" s="156">
        <v>28.2</v>
      </c>
      <c r="Q45" s="156">
        <v>9.4</v>
      </c>
      <c r="R45" s="156"/>
      <c r="S45" s="156">
        <v>49</v>
      </c>
      <c r="T45" s="156">
        <v>18.3</v>
      </c>
      <c r="U45" s="156"/>
      <c r="V45" s="156">
        <v>58.7</v>
      </c>
      <c r="W45" s="156">
        <v>8.9</v>
      </c>
      <c r="X45" s="156"/>
      <c r="Y45" s="156">
        <v>61.4</v>
      </c>
      <c r="Z45" s="156">
        <v>5.0999999999999996</v>
      </c>
      <c r="AA45" s="156"/>
      <c r="AB45" s="156">
        <v>59.1</v>
      </c>
      <c r="AC45" s="156">
        <v>2.4</v>
      </c>
      <c r="AD45" s="156"/>
      <c r="AE45" s="156">
        <v>71.5</v>
      </c>
      <c r="AF45" s="156">
        <v>2.9</v>
      </c>
      <c r="AG45" s="156"/>
      <c r="AH45" s="156">
        <v>46.2</v>
      </c>
      <c r="AI45" s="156">
        <v>3.2</v>
      </c>
      <c r="AJ45" s="156"/>
      <c r="AK45" s="156">
        <v>58.7</v>
      </c>
      <c r="AL45" s="156">
        <v>4</v>
      </c>
      <c r="AM45" s="157"/>
      <c r="AN45" s="156">
        <v>36.6</v>
      </c>
      <c r="AO45" s="156">
        <v>8.1</v>
      </c>
      <c r="AP45" s="157"/>
      <c r="AQ45" s="156">
        <v>93.5</v>
      </c>
      <c r="AR45" s="156">
        <v>9.1999999999999993</v>
      </c>
      <c r="AS45" s="157"/>
      <c r="AT45" s="156">
        <v>29.3</v>
      </c>
      <c r="AU45" s="156">
        <v>3.2</v>
      </c>
      <c r="AV45" s="157"/>
      <c r="AW45" s="156">
        <v>51.3</v>
      </c>
      <c r="AX45" s="156">
        <v>7.2</v>
      </c>
      <c r="AY45" s="156"/>
      <c r="AZ45" s="156">
        <v>37.4</v>
      </c>
      <c r="BA45" s="156">
        <v>8.8000000000000007</v>
      </c>
      <c r="BB45" s="156"/>
      <c r="BC45" s="156">
        <v>25.7</v>
      </c>
      <c r="BD45" s="156">
        <v>11</v>
      </c>
      <c r="BE45" s="156"/>
      <c r="BF45" s="156">
        <v>22.5</v>
      </c>
      <c r="BG45" s="156">
        <v>11.5</v>
      </c>
      <c r="BH45" s="158"/>
      <c r="BI45" s="159">
        <v>30.3</v>
      </c>
      <c r="BJ45" s="156">
        <v>10.1</v>
      </c>
      <c r="BK45" s="156"/>
      <c r="BL45" s="156">
        <v>30.9</v>
      </c>
      <c r="BM45" s="156">
        <v>7.1</v>
      </c>
      <c r="BN45" s="156"/>
      <c r="BO45" s="156">
        <v>26.8</v>
      </c>
      <c r="BP45" s="156">
        <v>6.5</v>
      </c>
      <c r="BQ45" s="160"/>
      <c r="BR45" s="156">
        <v>41.4</v>
      </c>
      <c r="BS45" s="156">
        <v>8.8000000000000007</v>
      </c>
      <c r="BT45" s="160"/>
      <c r="BU45" s="156">
        <v>31.7</v>
      </c>
      <c r="BV45" s="156">
        <v>7.7</v>
      </c>
      <c r="BW45" s="156"/>
      <c r="BX45" s="156">
        <v>30.3</v>
      </c>
      <c r="BY45" s="156">
        <v>10.199999999999999</v>
      </c>
      <c r="BZ45" s="156"/>
      <c r="CA45" s="156">
        <v>22.7</v>
      </c>
      <c r="CB45" s="156">
        <v>14.7</v>
      </c>
      <c r="CC45" s="156"/>
      <c r="CD45" s="156">
        <v>21.053999999999998</v>
      </c>
      <c r="CE45" s="156">
        <v>10.552</v>
      </c>
      <c r="CF45" s="156"/>
      <c r="CG45" s="156">
        <v>67.596000000000004</v>
      </c>
      <c r="CH45" s="156">
        <v>14.207000000000001</v>
      </c>
      <c r="CI45" s="156"/>
      <c r="CJ45" s="156">
        <v>99.174999999999997</v>
      </c>
      <c r="CK45" s="156">
        <v>5.4379999999999997</v>
      </c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</row>
    <row r="46" spans="2:105" s="134" customFormat="1" ht="21" customHeight="1">
      <c r="B46" s="153"/>
      <c r="C46" s="154" t="s">
        <v>11</v>
      </c>
      <c r="D46" s="155">
        <f>336112/1000</f>
        <v>336.11200000000002</v>
      </c>
      <c r="E46" s="156">
        <v>126.604</v>
      </c>
      <c r="F46" s="156"/>
      <c r="G46" s="156">
        <f>356786/1000</f>
        <v>356.786</v>
      </c>
      <c r="H46" s="156">
        <v>115.21</v>
      </c>
      <c r="I46" s="156"/>
      <c r="J46" s="156">
        <f>370824/1000</f>
        <v>370.82400000000001</v>
      </c>
      <c r="K46" s="156">
        <v>103.011</v>
      </c>
      <c r="L46" s="156"/>
      <c r="M46" s="156">
        <v>367.18900000000002</v>
      </c>
      <c r="N46" s="156">
        <v>137.22900000000001</v>
      </c>
      <c r="O46" s="156"/>
      <c r="P46" s="156">
        <f>384698/1000</f>
        <v>384.69799999999998</v>
      </c>
      <c r="Q46" s="156">
        <v>149.06100000000001</v>
      </c>
      <c r="R46" s="156"/>
      <c r="S46" s="156">
        <f>434803/1000</f>
        <v>434.803</v>
      </c>
      <c r="T46" s="156">
        <v>168.761</v>
      </c>
      <c r="U46" s="156"/>
      <c r="V46" s="156">
        <f>379748/1000</f>
        <v>379.74799999999999</v>
      </c>
      <c r="W46" s="156">
        <v>200.93199999999999</v>
      </c>
      <c r="X46" s="156"/>
      <c r="Y46" s="156">
        <f>355073/1000</f>
        <v>355.07299999999998</v>
      </c>
      <c r="Z46" s="156">
        <v>241.61600000000001</v>
      </c>
      <c r="AA46" s="156"/>
      <c r="AB46" s="156">
        <f>327669/1000</f>
        <v>327.66899999999998</v>
      </c>
      <c r="AC46" s="156">
        <v>260.35399999999998</v>
      </c>
      <c r="AD46" s="156"/>
      <c r="AE46" s="156">
        <f>391841/1000</f>
        <v>391.84100000000001</v>
      </c>
      <c r="AF46" s="156">
        <v>255.309</v>
      </c>
      <c r="AG46" s="156"/>
      <c r="AH46" s="156">
        <v>445.56099999999998</v>
      </c>
      <c r="AI46" s="156">
        <v>206.773</v>
      </c>
      <c r="AJ46" s="156"/>
      <c r="AK46" s="156">
        <v>492.084</v>
      </c>
      <c r="AL46" s="156">
        <v>162.38300000000001</v>
      </c>
      <c r="AM46" s="157"/>
      <c r="AN46" s="156">
        <v>616.41</v>
      </c>
      <c r="AO46" s="156">
        <v>150.214</v>
      </c>
      <c r="AP46" s="157"/>
      <c r="AQ46" s="156">
        <v>644.10299999999995</v>
      </c>
      <c r="AR46" s="156">
        <v>119.395</v>
      </c>
      <c r="AS46" s="157"/>
      <c r="AT46" s="156">
        <v>517.60699999999997</v>
      </c>
      <c r="AU46" s="156">
        <v>79.635999999999996</v>
      </c>
      <c r="AV46" s="157"/>
      <c r="AW46" s="156">
        <v>531.35799999999995</v>
      </c>
      <c r="AX46" s="156">
        <v>86.546999999999997</v>
      </c>
      <c r="AY46" s="156"/>
      <c r="AZ46" s="156">
        <v>550.20100000000002</v>
      </c>
      <c r="BA46" s="156">
        <v>125.215</v>
      </c>
      <c r="BB46" s="156"/>
      <c r="BC46" s="156">
        <v>417.3</v>
      </c>
      <c r="BD46" s="156">
        <v>128.19999999999999</v>
      </c>
      <c r="BE46" s="156"/>
      <c r="BF46" s="156">
        <v>310.60000000000002</v>
      </c>
      <c r="BG46" s="156">
        <v>208.7</v>
      </c>
      <c r="BH46" s="158"/>
      <c r="BI46" s="159">
        <v>374.9</v>
      </c>
      <c r="BJ46" s="156">
        <v>210.7</v>
      </c>
      <c r="BK46" s="156"/>
      <c r="BL46" s="156">
        <v>540.6</v>
      </c>
      <c r="BM46" s="156">
        <v>127.7</v>
      </c>
      <c r="BN46" s="156"/>
      <c r="BO46" s="156">
        <v>389.4</v>
      </c>
      <c r="BP46" s="156">
        <v>322.39999999999998</v>
      </c>
      <c r="BQ46" s="160"/>
      <c r="BR46" s="156">
        <v>503.1</v>
      </c>
      <c r="BS46" s="156">
        <v>168.2</v>
      </c>
      <c r="BT46" s="160"/>
      <c r="BU46" s="156">
        <v>604.6</v>
      </c>
      <c r="BV46" s="156">
        <v>171.1</v>
      </c>
      <c r="BW46" s="156"/>
      <c r="BX46" s="156">
        <v>577.4</v>
      </c>
      <c r="BY46" s="156">
        <v>187.2</v>
      </c>
      <c r="BZ46" s="156"/>
      <c r="CA46" s="156">
        <v>644.78899999999999</v>
      </c>
      <c r="CB46" s="156">
        <v>178.53200000000001</v>
      </c>
      <c r="CC46" s="156"/>
      <c r="CD46" s="156">
        <v>319.39999999999998</v>
      </c>
      <c r="CE46" s="156">
        <v>211.673</v>
      </c>
      <c r="CF46" s="156"/>
      <c r="CG46" s="156">
        <v>356.55399999999997</v>
      </c>
      <c r="CH46" s="156">
        <v>230.90299999999999</v>
      </c>
      <c r="CI46" s="156"/>
      <c r="CJ46" s="156">
        <v>1327.421</v>
      </c>
      <c r="CK46" s="156">
        <v>219.89599999999999</v>
      </c>
    </row>
    <row r="47" spans="2:105" ht="21" customHeight="1">
      <c r="B47" s="110"/>
      <c r="C47" s="103" t="s">
        <v>13</v>
      </c>
      <c r="D47" s="106">
        <v>371.50599999999997</v>
      </c>
      <c r="E47" s="106">
        <v>11.79</v>
      </c>
      <c r="F47" s="106"/>
      <c r="G47" s="106">
        <f>534594/1000</f>
        <v>534.59400000000005</v>
      </c>
      <c r="H47" s="106">
        <v>8.0259999999999998</v>
      </c>
      <c r="I47" s="106"/>
      <c r="J47" s="106">
        <f>615436/1000</f>
        <v>615.43600000000004</v>
      </c>
      <c r="K47" s="106">
        <v>12.38</v>
      </c>
      <c r="L47" s="106"/>
      <c r="M47" s="106">
        <v>407.70699999999999</v>
      </c>
      <c r="N47" s="106">
        <v>17.684000000000001</v>
      </c>
      <c r="O47" s="106"/>
      <c r="P47" s="106">
        <f>363050/1000</f>
        <v>363.05</v>
      </c>
      <c r="Q47" s="106">
        <v>37.228999999999999</v>
      </c>
      <c r="R47" s="106"/>
      <c r="S47" s="106">
        <f>425929/1000</f>
        <v>425.92899999999997</v>
      </c>
      <c r="T47" s="106">
        <v>23.084</v>
      </c>
      <c r="U47" s="106"/>
      <c r="V47" s="106">
        <f>406417/1000</f>
        <v>406.41699999999997</v>
      </c>
      <c r="W47" s="106">
        <v>18.331</v>
      </c>
      <c r="X47" s="106"/>
      <c r="Y47" s="106">
        <f>211257/1000</f>
        <v>211.25700000000001</v>
      </c>
      <c r="Z47" s="106">
        <v>19.722000000000001</v>
      </c>
      <c r="AA47" s="106"/>
      <c r="AB47" s="106">
        <f>164432/1000</f>
        <v>164.43199999999999</v>
      </c>
      <c r="AC47" s="106">
        <v>15.67</v>
      </c>
      <c r="AD47" s="106"/>
      <c r="AE47" s="106">
        <f>105272/1000</f>
        <v>105.27200000000001</v>
      </c>
      <c r="AF47" s="106">
        <v>15.459</v>
      </c>
      <c r="AG47" s="106"/>
      <c r="AH47" s="106">
        <v>81.739000000000004</v>
      </c>
      <c r="AI47" s="106">
        <v>17.931999999999999</v>
      </c>
      <c r="AJ47" s="106"/>
      <c r="AK47" s="106">
        <v>87.052000000000007</v>
      </c>
      <c r="AL47" s="106">
        <v>8.2230000000000008</v>
      </c>
      <c r="AM47" s="87"/>
      <c r="AN47" s="106">
        <v>79.308999999999997</v>
      </c>
      <c r="AO47" s="106">
        <v>6.4980000000000002</v>
      </c>
      <c r="AP47" s="87"/>
      <c r="AQ47" s="106">
        <v>128.24299999999999</v>
      </c>
      <c r="AR47" s="106">
        <v>7.9889999999999999</v>
      </c>
      <c r="AS47" s="87"/>
      <c r="AT47" s="106">
        <v>92.019000000000005</v>
      </c>
      <c r="AU47" s="106">
        <v>13.664999999999999</v>
      </c>
      <c r="AV47" s="87"/>
      <c r="AW47" s="106">
        <v>93.385999999999996</v>
      </c>
      <c r="AX47" s="106">
        <v>13.3</v>
      </c>
      <c r="AY47" s="106"/>
      <c r="AZ47" s="106">
        <v>155.93199999999999</v>
      </c>
      <c r="BA47" s="106">
        <v>18.163</v>
      </c>
      <c r="BB47" s="106"/>
      <c r="BC47" s="106">
        <v>73.099999999999994</v>
      </c>
      <c r="BD47" s="106">
        <v>46</v>
      </c>
      <c r="BE47" s="106"/>
      <c r="BF47" s="106">
        <v>69.2</v>
      </c>
      <c r="BG47" s="106">
        <v>57.7</v>
      </c>
      <c r="BH47" s="107"/>
      <c r="BI47" s="108">
        <v>72.599999999999994</v>
      </c>
      <c r="BJ47" s="106">
        <v>47.4</v>
      </c>
      <c r="BK47" s="106"/>
      <c r="BL47" s="106">
        <v>55.2</v>
      </c>
      <c r="BM47" s="106">
        <v>36.299999999999997</v>
      </c>
      <c r="BN47" s="106"/>
      <c r="BO47" s="106">
        <v>144.69999999999999</v>
      </c>
      <c r="BP47" s="106">
        <v>61.1</v>
      </c>
      <c r="BQ47" s="109"/>
      <c r="BR47" s="106">
        <v>81.5</v>
      </c>
      <c r="BS47" s="106">
        <v>44.9</v>
      </c>
      <c r="BT47" s="109"/>
      <c r="BU47" s="106">
        <v>86.4</v>
      </c>
      <c r="BV47" s="106">
        <v>84.6</v>
      </c>
      <c r="BW47" s="106"/>
      <c r="BX47" s="106">
        <v>136.4</v>
      </c>
      <c r="BY47" s="106">
        <v>67.900000000000006</v>
      </c>
      <c r="BZ47" s="106"/>
      <c r="CA47" s="106">
        <v>64.001000000000005</v>
      </c>
      <c r="CB47" s="106">
        <v>77.492999999999995</v>
      </c>
      <c r="CC47" s="106"/>
      <c r="CD47" s="156">
        <v>118</v>
      </c>
      <c r="CE47" s="156">
        <v>75.587000000000003</v>
      </c>
      <c r="CF47" s="156"/>
      <c r="CG47" s="156">
        <v>102.79600000000001</v>
      </c>
      <c r="CH47" s="156">
        <v>97.281000000000006</v>
      </c>
      <c r="CI47" s="156"/>
      <c r="CJ47" s="156">
        <v>133.67699999999999</v>
      </c>
      <c r="CK47" s="156">
        <v>136.72999999999999</v>
      </c>
    </row>
    <row r="48" spans="2:105" s="119" customFormat="1" ht="30" customHeight="1">
      <c r="B48" s="184" t="s">
        <v>62</v>
      </c>
      <c r="C48" s="185"/>
      <c r="D48" s="85">
        <v>91.555000000000007</v>
      </c>
      <c r="E48" s="85">
        <v>0</v>
      </c>
      <c r="F48" s="85"/>
      <c r="G48" s="85">
        <v>176.06399999999999</v>
      </c>
      <c r="H48" s="85">
        <v>0</v>
      </c>
      <c r="I48" s="85"/>
      <c r="J48" s="85">
        <v>163.35599999999999</v>
      </c>
      <c r="K48" s="85">
        <v>0</v>
      </c>
      <c r="L48" s="85"/>
      <c r="M48" s="85">
        <v>21.294</v>
      </c>
      <c r="N48" s="85">
        <v>0</v>
      </c>
      <c r="O48" s="85"/>
      <c r="P48" s="85">
        <v>77.234999999999999</v>
      </c>
      <c r="Q48" s="85">
        <v>0</v>
      </c>
      <c r="R48" s="85"/>
      <c r="S48" s="85">
        <v>52.999000000000002</v>
      </c>
      <c r="T48" s="85">
        <v>0</v>
      </c>
      <c r="U48" s="85"/>
      <c r="V48" s="85">
        <v>167.02</v>
      </c>
      <c r="W48" s="85">
        <v>0</v>
      </c>
      <c r="X48" s="85"/>
      <c r="Y48" s="85">
        <v>228.886</v>
      </c>
      <c r="Z48" s="85">
        <v>0</v>
      </c>
      <c r="AA48" s="85"/>
      <c r="AB48" s="85">
        <v>157.352</v>
      </c>
      <c r="AC48" s="85">
        <v>0</v>
      </c>
      <c r="AD48" s="85"/>
      <c r="AE48" s="85">
        <v>57.715000000000003</v>
      </c>
      <c r="AF48" s="85">
        <v>5.1959999999999997</v>
      </c>
      <c r="AG48" s="85"/>
      <c r="AH48" s="85">
        <v>80.650999999999996</v>
      </c>
      <c r="AI48" s="85">
        <v>10.702</v>
      </c>
      <c r="AJ48" s="85"/>
      <c r="AK48" s="85">
        <v>77.927999999999997</v>
      </c>
      <c r="AL48" s="85">
        <v>9.9079999999999995</v>
      </c>
      <c r="AM48" s="86"/>
      <c r="AN48" s="85">
        <v>15.051</v>
      </c>
      <c r="AO48" s="85">
        <v>11.125</v>
      </c>
      <c r="AP48" s="86"/>
      <c r="AQ48" s="85">
        <v>28.196999999999999</v>
      </c>
      <c r="AR48" s="85">
        <v>8.0340000000000007</v>
      </c>
      <c r="AS48" s="86"/>
      <c r="AT48" s="85">
        <v>14.882</v>
      </c>
      <c r="AU48" s="85">
        <v>5.742</v>
      </c>
      <c r="AV48" s="86"/>
      <c r="AW48" s="85">
        <v>117.221</v>
      </c>
      <c r="AX48" s="85">
        <v>8.407</v>
      </c>
      <c r="AY48" s="85"/>
      <c r="AZ48" s="85">
        <v>89.763000000000005</v>
      </c>
      <c r="BA48" s="85">
        <v>13.917999999999999</v>
      </c>
      <c r="BB48" s="85"/>
      <c r="BC48" s="85">
        <v>16.600000000000001</v>
      </c>
      <c r="BD48" s="85">
        <v>8.9</v>
      </c>
      <c r="BE48" s="85"/>
      <c r="BF48" s="85">
        <v>2.2000000000000002</v>
      </c>
      <c r="BG48" s="85">
        <v>8.8000000000000007</v>
      </c>
      <c r="BH48" s="88"/>
      <c r="BI48" s="89">
        <v>2.4</v>
      </c>
      <c r="BJ48" s="85">
        <v>23.1</v>
      </c>
      <c r="BK48" s="85"/>
      <c r="BL48" s="85">
        <v>26.4</v>
      </c>
      <c r="BM48" s="85">
        <v>19</v>
      </c>
      <c r="BN48" s="85"/>
      <c r="BO48" s="85">
        <v>142.6</v>
      </c>
      <c r="BP48" s="85">
        <v>48.4</v>
      </c>
      <c r="BQ48" s="117"/>
      <c r="BR48" s="85">
        <v>265.89999999999998</v>
      </c>
      <c r="BS48" s="85">
        <v>109.1</v>
      </c>
      <c r="BT48" s="117"/>
      <c r="BU48" s="85">
        <v>415.7</v>
      </c>
      <c r="BV48" s="85">
        <v>44.2</v>
      </c>
      <c r="BW48" s="85"/>
      <c r="BX48" s="85">
        <v>110.4</v>
      </c>
      <c r="BY48" s="85">
        <v>27.8</v>
      </c>
      <c r="BZ48" s="85"/>
      <c r="CA48" s="85">
        <v>177.96199999999999</v>
      </c>
      <c r="CB48" s="85">
        <v>40.450000000000003</v>
      </c>
      <c r="CC48" s="85"/>
      <c r="CD48" s="173">
        <v>103.199</v>
      </c>
      <c r="CE48" s="173">
        <v>29.43</v>
      </c>
      <c r="CF48" s="173"/>
      <c r="CG48" s="173">
        <v>191.17</v>
      </c>
      <c r="CH48" s="173">
        <v>59.865000000000002</v>
      </c>
      <c r="CI48" s="173"/>
      <c r="CJ48" s="173">
        <v>706.39099999999996</v>
      </c>
      <c r="CK48" s="173">
        <v>74.278000000000006</v>
      </c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8"/>
    </row>
    <row r="49" spans="2:105" s="119" customFormat="1" ht="21" customHeight="1">
      <c r="B49" s="120" t="s">
        <v>63</v>
      </c>
      <c r="C49" s="121"/>
      <c r="D49" s="122"/>
      <c r="E49" s="95">
        <v>78.075000000000003</v>
      </c>
      <c r="F49" s="95"/>
      <c r="G49" s="95"/>
      <c r="H49" s="95">
        <v>89.215999999999994</v>
      </c>
      <c r="I49" s="95"/>
      <c r="J49" s="95"/>
      <c r="K49" s="95">
        <v>59.054000000000002</v>
      </c>
      <c r="L49" s="95"/>
      <c r="M49" s="95"/>
      <c r="N49" s="95">
        <v>53.609000000000002</v>
      </c>
      <c r="O49" s="95"/>
      <c r="P49" s="95"/>
      <c r="Q49" s="95">
        <v>66.206999999999994</v>
      </c>
      <c r="R49" s="95"/>
      <c r="S49" s="95"/>
      <c r="T49" s="95">
        <v>116.758</v>
      </c>
      <c r="U49" s="95"/>
      <c r="V49" s="95"/>
      <c r="W49" s="95">
        <v>97.57</v>
      </c>
      <c r="X49" s="95"/>
      <c r="Y49" s="95"/>
      <c r="Z49" s="95">
        <v>72.287999999999997</v>
      </c>
      <c r="AA49" s="95"/>
      <c r="AB49" s="95"/>
      <c r="AC49" s="95">
        <v>79.224000000000004</v>
      </c>
      <c r="AD49" s="95"/>
      <c r="AE49" s="95"/>
      <c r="AF49" s="95">
        <v>72.373000000000005</v>
      </c>
      <c r="AG49" s="95"/>
      <c r="AH49" s="95"/>
      <c r="AI49" s="95">
        <v>193.34299999999999</v>
      </c>
      <c r="AJ49" s="95"/>
      <c r="AK49" s="95"/>
      <c r="AL49" s="95">
        <v>206.358</v>
      </c>
      <c r="AM49" s="122"/>
      <c r="AN49" s="95"/>
      <c r="AO49" s="95">
        <v>169.46199999999999</v>
      </c>
      <c r="AP49" s="122"/>
      <c r="AQ49" s="95"/>
      <c r="AR49" s="95">
        <v>231.65100000000001</v>
      </c>
      <c r="AS49" s="122"/>
      <c r="AT49" s="95"/>
      <c r="AU49" s="95">
        <v>135.96</v>
      </c>
      <c r="AV49" s="122"/>
      <c r="AW49" s="95"/>
      <c r="AX49" s="95">
        <v>163.33000000000001</v>
      </c>
      <c r="AY49" s="95"/>
      <c r="AZ49" s="95"/>
      <c r="BA49" s="95">
        <v>256.12599999999998</v>
      </c>
      <c r="BB49" s="95"/>
      <c r="BC49" s="95"/>
      <c r="BD49" s="95">
        <v>265.3</v>
      </c>
      <c r="BE49" s="95"/>
      <c r="BF49" s="95"/>
      <c r="BG49" s="95">
        <v>254.2</v>
      </c>
      <c r="BH49" s="99"/>
      <c r="BI49" s="100"/>
      <c r="BJ49" s="95">
        <v>239.5</v>
      </c>
      <c r="BK49" s="95"/>
      <c r="BL49" s="95"/>
      <c r="BM49" s="95">
        <v>211.3</v>
      </c>
      <c r="BN49" s="95"/>
      <c r="BO49" s="95"/>
      <c r="BP49" s="95">
        <v>200.4</v>
      </c>
      <c r="BQ49" s="123"/>
      <c r="BR49" s="95"/>
      <c r="BS49" s="95">
        <v>243.4</v>
      </c>
      <c r="BT49" s="123"/>
      <c r="BU49" s="95"/>
      <c r="BV49" s="95">
        <v>318.3</v>
      </c>
      <c r="BW49" s="95"/>
      <c r="BX49" s="95"/>
      <c r="BY49" s="95">
        <v>334.5</v>
      </c>
      <c r="BZ49" s="95"/>
      <c r="CA49" s="95"/>
      <c r="CB49" s="95">
        <v>165.15700000000001</v>
      </c>
      <c r="CC49" s="95"/>
      <c r="CD49" s="174"/>
      <c r="CE49" s="174">
        <v>220.77199999999999</v>
      </c>
      <c r="CF49" s="174"/>
      <c r="CG49" s="174"/>
      <c r="CH49" s="174">
        <v>540.16700000000003</v>
      </c>
      <c r="CI49" s="174"/>
      <c r="CJ49" s="174"/>
      <c r="CK49" s="174">
        <v>394.05099999999999</v>
      </c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</row>
    <row r="50" spans="2:105" ht="3.75" customHeight="1">
      <c r="B50" s="43"/>
      <c r="C50" s="44"/>
      <c r="D50" s="60"/>
      <c r="E50" s="50"/>
      <c r="F50" s="52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N50" s="50"/>
      <c r="AO50" s="50"/>
      <c r="AP50" s="51"/>
      <c r="AQ50" s="50"/>
      <c r="AR50" s="50"/>
      <c r="AS50" s="51"/>
      <c r="AT50" s="50"/>
      <c r="AU50" s="50"/>
      <c r="AV50" s="51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70"/>
      <c r="BI50" s="72"/>
      <c r="BJ50" s="50"/>
      <c r="BK50" s="50"/>
      <c r="BL50" s="50"/>
      <c r="BM50" s="50"/>
      <c r="BN50" s="50"/>
      <c r="BO50" s="50"/>
      <c r="BP50" s="50"/>
      <c r="BQ50" s="78"/>
      <c r="BR50" s="50"/>
      <c r="BS50" s="50"/>
      <c r="BT50" s="78"/>
      <c r="BU50" s="50"/>
      <c r="BV50" s="50"/>
      <c r="BW50" s="50"/>
      <c r="BX50" s="50"/>
      <c r="BY50" s="50"/>
      <c r="BZ50" s="50"/>
      <c r="CA50" s="50"/>
      <c r="CB50" s="50"/>
      <c r="CC50" s="50"/>
      <c r="CD50" s="175"/>
      <c r="CE50" s="175"/>
      <c r="CF50" s="175"/>
      <c r="CG50" s="175"/>
      <c r="CH50" s="175"/>
      <c r="CI50" s="175"/>
      <c r="CJ50" s="175"/>
      <c r="CK50" s="175"/>
    </row>
    <row r="51" spans="2:105" ht="8.25" customHeight="1">
      <c r="B51" s="8"/>
      <c r="C51" s="62"/>
      <c r="D51" s="66"/>
      <c r="E51" s="63"/>
      <c r="F51" s="65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4"/>
      <c r="AN51" s="63"/>
      <c r="AO51" s="63"/>
      <c r="AP51" s="64"/>
      <c r="AQ51" s="63"/>
      <c r="AR51" s="63"/>
      <c r="AS51" s="64"/>
      <c r="AT51" s="63"/>
      <c r="AU51" s="63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5"/>
    </row>
    <row r="52" spans="2:105" ht="14.25" customHeight="1">
      <c r="B52" s="8"/>
      <c r="C52" s="7" t="s">
        <v>68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13"/>
      <c r="AH52" s="13"/>
      <c r="AI52" s="13"/>
      <c r="AJ52" s="13"/>
      <c r="AK52" s="53"/>
      <c r="AL52" s="13"/>
      <c r="AM52" s="13"/>
      <c r="AN52" s="13"/>
      <c r="AO52" s="13"/>
      <c r="AP52" s="13"/>
      <c r="AQ52" s="12"/>
      <c r="AR52" s="13"/>
      <c r="AS52" s="13"/>
      <c r="AT52" s="11"/>
      <c r="AU52" s="11"/>
      <c r="AV52" s="13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5"/>
    </row>
    <row r="53" spans="2:105" ht="14.25" customHeight="1">
      <c r="B53" s="8"/>
      <c r="C53" s="80" t="s">
        <v>69</v>
      </c>
      <c r="D53" s="80"/>
      <c r="E53" s="81"/>
      <c r="F53" s="7"/>
      <c r="G53" s="14"/>
      <c r="H53" s="14"/>
      <c r="I53" s="7"/>
      <c r="J53" s="14"/>
      <c r="K53" s="14"/>
      <c r="L53" s="7"/>
      <c r="M53" s="53"/>
      <c r="N53" s="13"/>
      <c r="O53" s="7"/>
      <c r="P53" s="53"/>
      <c r="Q53" s="13"/>
      <c r="R53" s="7"/>
      <c r="S53" s="53"/>
      <c r="T53" s="13"/>
      <c r="U53" s="8"/>
      <c r="V53" s="53"/>
      <c r="W53" s="13"/>
      <c r="X53" s="7"/>
      <c r="Y53" s="12"/>
      <c r="Z53" s="13"/>
      <c r="AA53" s="13"/>
      <c r="AB53" s="53"/>
      <c r="AC53" s="13"/>
      <c r="AD53" s="13"/>
      <c r="AE53" s="53"/>
      <c r="AF53" s="13"/>
      <c r="AG53" s="13"/>
      <c r="AH53" s="13"/>
      <c r="AI53" s="13"/>
      <c r="AJ53" s="13"/>
      <c r="AK53" s="53"/>
      <c r="AL53" s="13"/>
      <c r="AM53" s="13"/>
      <c r="AN53" s="13"/>
      <c r="AO53" s="13"/>
      <c r="AP53" s="13"/>
      <c r="AQ53" s="12"/>
      <c r="AR53" s="13"/>
      <c r="AS53" s="13"/>
      <c r="AT53" s="11"/>
      <c r="AU53" s="11"/>
      <c r="AV53" s="13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5"/>
    </row>
    <row r="54" spans="2:105" ht="14.25" customHeight="1">
      <c r="B54" s="8"/>
      <c r="C54" s="7" t="s">
        <v>70</v>
      </c>
      <c r="D54" s="14"/>
      <c r="E54" s="14"/>
      <c r="F54" s="7"/>
      <c r="G54" s="14"/>
      <c r="H54" s="14"/>
      <c r="I54" s="7"/>
      <c r="J54" s="14"/>
      <c r="K54" s="14"/>
      <c r="L54" s="7"/>
      <c r="M54" s="53"/>
      <c r="N54" s="13"/>
      <c r="O54" s="7"/>
      <c r="P54" s="53"/>
      <c r="Q54" s="13"/>
      <c r="R54" s="7"/>
      <c r="S54" s="53"/>
      <c r="T54" s="13"/>
      <c r="U54" s="8"/>
      <c r="V54" s="53"/>
      <c r="W54" s="13"/>
      <c r="X54" s="7"/>
      <c r="Y54" s="12"/>
      <c r="Z54" s="13"/>
      <c r="AA54" s="13"/>
      <c r="AB54" s="53"/>
      <c r="AC54" s="13"/>
      <c r="AD54" s="13"/>
      <c r="AE54" s="53"/>
      <c r="AF54" s="13"/>
      <c r="AG54" s="13"/>
      <c r="AH54" s="13"/>
      <c r="AI54" s="13"/>
      <c r="AJ54" s="13"/>
      <c r="AK54" s="53"/>
      <c r="AL54" s="13"/>
      <c r="AM54" s="13"/>
      <c r="AN54" s="13"/>
      <c r="AO54" s="13"/>
      <c r="AP54" s="13"/>
      <c r="AQ54" s="12"/>
      <c r="AR54" s="13"/>
      <c r="AS54" s="13"/>
      <c r="AT54" s="11"/>
      <c r="AU54" s="11"/>
      <c r="AV54" s="13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5"/>
    </row>
    <row r="55" spans="2:105" s="134" customFormat="1" ht="14.25" customHeight="1">
      <c r="B55" s="125"/>
      <c r="C55" s="126" t="s">
        <v>82</v>
      </c>
      <c r="D55" s="127"/>
      <c r="E55" s="127"/>
      <c r="F55" s="128"/>
      <c r="G55" s="127"/>
      <c r="H55" s="127"/>
      <c r="I55" s="128"/>
      <c r="J55" s="127"/>
      <c r="K55" s="127"/>
      <c r="L55" s="128"/>
      <c r="M55" s="129"/>
      <c r="N55" s="130"/>
      <c r="O55" s="128"/>
      <c r="P55" s="129"/>
      <c r="Q55" s="130"/>
      <c r="R55" s="128"/>
      <c r="S55" s="129"/>
      <c r="T55" s="130"/>
      <c r="U55" s="125"/>
      <c r="V55" s="129"/>
      <c r="W55" s="130"/>
      <c r="X55" s="128"/>
      <c r="Y55" s="131"/>
      <c r="Z55" s="130"/>
      <c r="AA55" s="130"/>
      <c r="AB55" s="129"/>
      <c r="AC55" s="130"/>
      <c r="AD55" s="130"/>
      <c r="AE55" s="129"/>
      <c r="AF55" s="130"/>
      <c r="AG55" s="130"/>
      <c r="AH55" s="130"/>
      <c r="AI55" s="130"/>
      <c r="AJ55" s="130"/>
      <c r="AK55" s="129"/>
      <c r="AL55" s="130"/>
      <c r="AM55" s="130"/>
      <c r="AN55" s="130"/>
      <c r="AO55" s="130"/>
      <c r="AP55" s="130"/>
      <c r="AQ55" s="131"/>
      <c r="AR55" s="130"/>
      <c r="AS55" s="130"/>
      <c r="AT55" s="132"/>
      <c r="AU55" s="132"/>
      <c r="AV55" s="130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</row>
    <row r="56" spans="2:105" s="134" customFormat="1" ht="9.75" customHeight="1" thickBot="1">
      <c r="B56" s="135"/>
      <c r="C56" s="136"/>
      <c r="D56" s="137"/>
      <c r="E56" s="137"/>
      <c r="F56" s="138"/>
      <c r="G56" s="137"/>
      <c r="H56" s="137"/>
      <c r="I56" s="138"/>
      <c r="J56" s="137"/>
      <c r="K56" s="137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7"/>
      <c r="AE56" s="138"/>
      <c r="AF56" s="138"/>
      <c r="AG56" s="137"/>
      <c r="AH56" s="137"/>
      <c r="AI56" s="137"/>
      <c r="AJ56" s="137"/>
      <c r="AK56" s="138"/>
      <c r="AL56" s="137"/>
      <c r="AM56" s="137"/>
      <c r="AN56" s="137"/>
      <c r="AO56" s="137"/>
      <c r="AP56" s="137"/>
      <c r="AQ56" s="138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9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</row>
    <row r="57" spans="2:105" s="134" customFormat="1" ht="15.75" customHeight="1" thickTop="1">
      <c r="B57" s="141" t="s">
        <v>75</v>
      </c>
      <c r="C57" s="141"/>
      <c r="D57" s="128"/>
      <c r="E57" s="128"/>
      <c r="F57" s="133"/>
      <c r="G57" s="128"/>
      <c r="H57" s="128"/>
      <c r="I57" s="133"/>
      <c r="J57" s="128"/>
      <c r="K57" s="128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</row>
    <row r="58" spans="2:105" s="134" customFormat="1" ht="4.5" customHeight="1">
      <c r="B58" s="133"/>
      <c r="C58" s="133"/>
      <c r="D58" s="128"/>
      <c r="E58" s="128"/>
      <c r="F58" s="133"/>
      <c r="G58" s="128"/>
      <c r="H58" s="128"/>
      <c r="I58" s="133"/>
      <c r="J58" s="128"/>
      <c r="K58" s="128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</row>
    <row r="59" spans="2:105" s="134" customFormat="1" ht="15.75" customHeight="1">
      <c r="B59" s="142" t="s">
        <v>73</v>
      </c>
      <c r="C59" s="142"/>
      <c r="D59" s="128"/>
      <c r="E59" s="128"/>
      <c r="F59" s="133"/>
      <c r="G59" s="128"/>
      <c r="H59" s="128"/>
      <c r="I59" s="133"/>
      <c r="J59" s="128"/>
      <c r="K59" s="128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4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</row>
    <row r="60" spans="2:105" s="134" customFormat="1">
      <c r="B60" s="133"/>
      <c r="C60" s="133"/>
      <c r="D60" s="128"/>
      <c r="E60" s="128"/>
      <c r="F60" s="144"/>
      <c r="G60" s="128"/>
      <c r="H60" s="128"/>
      <c r="I60" s="144"/>
      <c r="J60" s="128"/>
      <c r="K60" s="128"/>
      <c r="L60" s="144"/>
      <c r="M60" s="133"/>
      <c r="N60" s="133"/>
      <c r="O60" s="144"/>
      <c r="P60" s="133"/>
      <c r="Q60" s="133"/>
      <c r="R60" s="144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43"/>
      <c r="AS60" s="133"/>
      <c r="AT60" s="133"/>
      <c r="AU60" s="143"/>
      <c r="AV60" s="133"/>
      <c r="AW60" s="133"/>
      <c r="AX60" s="14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44"/>
    </row>
    <row r="61" spans="2:105">
      <c r="O61" s="10">
        <f>O10+O27+O48+O49</f>
        <v>0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134"/>
      <c r="CE61" s="134"/>
      <c r="CF61" s="134"/>
      <c r="CG61" s="134"/>
      <c r="CH61" s="134"/>
      <c r="CI61" s="134"/>
      <c r="CJ61" s="134"/>
      <c r="CK61" s="134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</row>
    <row r="62" spans="2:105">
      <c r="AZ62" s="10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134"/>
      <c r="CE62" s="134"/>
      <c r="CF62" s="134"/>
      <c r="CG62" s="134"/>
      <c r="CH62" s="134"/>
      <c r="CI62" s="134"/>
      <c r="CJ62" s="134"/>
      <c r="CK62" s="134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</row>
  </sheetData>
  <mergeCells count="60">
    <mergeCell ref="Y4:Z4"/>
    <mergeCell ref="AE4:AF4"/>
    <mergeCell ref="AK3:AL3"/>
    <mergeCell ref="AN4:AO4"/>
    <mergeCell ref="AT3:AU3"/>
    <mergeCell ref="AB4:AC4"/>
    <mergeCell ref="AH3:AI3"/>
    <mergeCell ref="AH4:AI4"/>
    <mergeCell ref="AE3:AF3"/>
    <mergeCell ref="P4:Q4"/>
    <mergeCell ref="J3:K3"/>
    <mergeCell ref="M4:N4"/>
    <mergeCell ref="P3:Q3"/>
    <mergeCell ref="M3:N3"/>
    <mergeCell ref="J4:K4"/>
    <mergeCell ref="B48:C48"/>
    <mergeCell ref="G3:H3"/>
    <mergeCell ref="G4:H4"/>
    <mergeCell ref="B4:C4"/>
    <mergeCell ref="D3:E3"/>
    <mergeCell ref="D4:E4"/>
    <mergeCell ref="V4:W4"/>
    <mergeCell ref="AW4:AX4"/>
    <mergeCell ref="S4:T4"/>
    <mergeCell ref="AQ3:AR3"/>
    <mergeCell ref="BF4:BG4"/>
    <mergeCell ref="AQ4:AR4"/>
    <mergeCell ref="S3:T3"/>
    <mergeCell ref="V3:W3"/>
    <mergeCell ref="AW3:AX3"/>
    <mergeCell ref="AZ4:BA4"/>
    <mergeCell ref="BC3:BD3"/>
    <mergeCell ref="AN3:AO3"/>
    <mergeCell ref="AK4:AL4"/>
    <mergeCell ref="Y3:Z3"/>
    <mergeCell ref="AB3:AC3"/>
    <mergeCell ref="AT4:AU4"/>
    <mergeCell ref="AZ3:BA3"/>
    <mergeCell ref="BC4:BD4"/>
    <mergeCell ref="BR4:BS4"/>
    <mergeCell ref="BO4:BP4"/>
    <mergeCell ref="BL4:BM4"/>
    <mergeCell ref="BI4:BJ4"/>
    <mergeCell ref="BI3:BJ3"/>
    <mergeCell ref="BL3:BM3"/>
    <mergeCell ref="BO3:BP3"/>
    <mergeCell ref="BR3:BS3"/>
    <mergeCell ref="CD4:CE4"/>
    <mergeCell ref="BX4:BY4"/>
    <mergeCell ref="BU4:BV4"/>
    <mergeCell ref="CJ4:CK4"/>
    <mergeCell ref="BF3:BG3"/>
    <mergeCell ref="CA4:CB4"/>
    <mergeCell ref="CJ3:CK3"/>
    <mergeCell ref="CD3:CE3"/>
    <mergeCell ref="CA3:CB3"/>
    <mergeCell ref="BX3:BY3"/>
    <mergeCell ref="BU3:BV3"/>
    <mergeCell ref="CG3:CH3"/>
    <mergeCell ref="CG4:CH4"/>
  </mergeCells>
  <phoneticPr fontId="6" type="noConversion"/>
  <printOptions horizontalCentered="1" verticalCentered="1"/>
  <pageMargins left="0.15748031496062992" right="0.15748031496062992" top="0.19685039370078741" bottom="0.19685039370078741" header="0.15748031496062992" footer="0.19685039370078741"/>
  <pageSetup paperSize="9" scale="60" orientation="portrait" r:id="rId1"/>
  <headerFooter alignWithMargins="0"/>
  <colBreaks count="4" manualBreakCount="4">
    <brk id="21" max="57" man="1"/>
    <brk id="42" max="57" man="1"/>
    <brk id="63" max="57" man="1"/>
    <brk id="81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FOREIGN TRADE COUNTRY</vt:lpstr>
      <vt:lpstr>Chart1-IMPORTS BY AREA</vt:lpstr>
      <vt:lpstr>Chart2-EXPORTS BY AREA</vt:lpstr>
      <vt:lpstr>'FOREIGN TRADE COUNTRY'!Print_Area</vt:lpstr>
      <vt:lpstr>'FOREIGN TRADE COUNTRY'!Print_Titles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Theodoulou  George</cp:lastModifiedBy>
  <cp:lastPrinted>2024-06-17T08:17:10Z</cp:lastPrinted>
  <dcterms:created xsi:type="dcterms:W3CDTF">1999-10-26T07:11:33Z</dcterms:created>
  <dcterms:modified xsi:type="dcterms:W3CDTF">2024-06-17T08:17:26Z</dcterms:modified>
</cp:coreProperties>
</file>